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mc:AlternateContent xmlns:mc="http://schemas.openxmlformats.org/markup-compatibility/2006">
    <mc:Choice Requires="x15">
      <x15ac:absPath xmlns:x15ac="http://schemas.microsoft.com/office/spreadsheetml/2010/11/ac" url="/Users/amaynard/Dropbox/Social Media/The Real Andrew Maynard/Blog Posts/COVID Ventillation Class/"/>
    </mc:Choice>
  </mc:AlternateContent>
  <xr:revisionPtr revIDLastSave="0" documentId="13_ncr:1_{1222C029-C6BD-B440-9EA2-4AF43CFFED41}" xr6:coauthVersionLast="45" xr6:coauthVersionMax="45" xr10:uidLastSave="{00000000-0000-0000-0000-000000000000}"/>
  <bookViews>
    <workbookView xWindow="0" yWindow="460" windowWidth="28800" windowHeight="17540" activeTab="2" xr2:uid="{00000000-000D-0000-FFFF-FFFF00000000}"/>
  </bookViews>
  <sheets>
    <sheet name="Readme" sheetId="1" r:id="rId1"/>
    <sheet name="FAQs" sheetId="2" r:id="rId2"/>
    <sheet name="Classroom" sheetId="3" r:id="rId3"/>
    <sheet name="Class Analysis (added by AM" sheetId="12" r:id="rId4"/>
    <sheet name="Archive" sheetId="11" r:id="rId5"/>
    <sheet name="Campus" sheetId="4" r:id="rId6"/>
    <sheet name="Subway" sheetId="5" r:id="rId7"/>
    <sheet name="Bus" sheetId="6" r:id="rId8"/>
    <sheet name="Choir" sheetId="7" r:id="rId9"/>
    <sheet name="Outdoors" sheetId="8" r:id="rId10"/>
    <sheet name="Demonstration" sheetId="9" r:id="rId11"/>
    <sheet name="Rally" sheetId="10" state="hidden" r:id="rId12"/>
  </sheets>
  <calcPr calcId="191029"/>
</workbook>
</file>

<file path=xl/calcChain.xml><?xml version="1.0" encoding="utf-8"?>
<calcChain xmlns="http://schemas.openxmlformats.org/spreadsheetml/2006/main">
  <c r="E132" i="1" l="1"/>
  <c r="B61" i="3" l="1"/>
  <c r="B64" i="3" l="1"/>
  <c r="E134" i="1" l="1"/>
  <c r="E135" i="1" s="1"/>
  <c r="B38" i="10" l="1"/>
  <c r="B34" i="10"/>
  <c r="B32" i="10"/>
  <c r="B16" i="10"/>
  <c r="E16" i="10" s="1"/>
  <c r="B19" i="10" s="1"/>
  <c r="E19" i="10" s="1"/>
  <c r="E15" i="10"/>
  <c r="B18" i="10" s="1"/>
  <c r="E18" i="10" s="1"/>
  <c r="B15" i="10"/>
  <c r="E13" i="10"/>
  <c r="E7" i="10"/>
  <c r="E8" i="10" s="1"/>
  <c r="E6" i="10"/>
  <c r="B6" i="10"/>
  <c r="E19" i="9"/>
  <c r="E7" i="9"/>
  <c r="B6" i="9"/>
  <c r="E6" i="9" s="1"/>
  <c r="B29" i="8"/>
  <c r="E17" i="8"/>
  <c r="E7" i="8"/>
  <c r="B6" i="8"/>
  <c r="E6" i="8" s="1"/>
  <c r="E8" i="8" s="1"/>
  <c r="B27" i="7"/>
  <c r="B21" i="7"/>
  <c r="E15" i="7"/>
  <c r="E7" i="7"/>
  <c r="B6" i="7"/>
  <c r="E6" i="7" s="1"/>
  <c r="E8" i="7" s="1"/>
  <c r="B29" i="7" s="1"/>
  <c r="B31" i="7" s="1"/>
  <c r="B32" i="7" s="1"/>
  <c r="B33" i="7" s="1"/>
  <c r="B28" i="6"/>
  <c r="B22" i="6"/>
  <c r="B19" i="6"/>
  <c r="E13" i="6"/>
  <c r="B7" i="6"/>
  <c r="E7" i="6" s="1"/>
  <c r="B6" i="6"/>
  <c r="E6" i="6" s="1"/>
  <c r="B37" i="5"/>
  <c r="C23" i="5"/>
  <c r="B23" i="5"/>
  <c r="E23" i="5" s="1"/>
  <c r="E22" i="5"/>
  <c r="B19" i="5"/>
  <c r="E19" i="5" s="1"/>
  <c r="B17" i="5"/>
  <c r="A17" i="5"/>
  <c r="E16" i="5"/>
  <c r="E14" i="5"/>
  <c r="E7" i="5"/>
  <c r="E8" i="5" s="1"/>
  <c r="B6" i="5"/>
  <c r="E6" i="5" s="1"/>
  <c r="B15" i="4"/>
  <c r="B14" i="4"/>
  <c r="D13" i="4"/>
  <c r="G49" i="3"/>
  <c r="B45" i="3"/>
  <c r="G43" i="3"/>
  <c r="B32" i="3"/>
  <c r="B21" i="3"/>
  <c r="E15" i="3"/>
  <c r="E7" i="3"/>
  <c r="E6" i="3"/>
  <c r="G200" i="1"/>
  <c r="G195" i="1"/>
  <c r="B178" i="1"/>
  <c r="E137" i="1"/>
  <c r="E138" i="1" l="1"/>
  <c r="E8" i="3"/>
  <c r="B20" i="5"/>
  <c r="B27" i="5" s="1"/>
  <c r="B31" i="5" s="1"/>
  <c r="B39" i="5" s="1"/>
  <c r="B42" i="5" s="1"/>
  <c r="B43" i="5" s="1"/>
  <c r="B24" i="5"/>
  <c r="E8" i="6"/>
  <c r="B19" i="8"/>
  <c r="B23" i="8" s="1"/>
  <c r="B31" i="8" s="1"/>
  <c r="B33" i="8" s="1"/>
  <c r="B34" i="8" s="1"/>
  <c r="B35" i="8" s="1"/>
  <c r="B21" i="9"/>
  <c r="B25" i="9" s="1"/>
  <c r="E8" i="9"/>
  <c r="B13" i="9"/>
  <c r="B22" i="10"/>
  <c r="B26" i="5"/>
  <c r="E26" i="5" s="1"/>
  <c r="B47" i="3" l="1"/>
  <c r="B50" i="3" s="1"/>
  <c r="B51" i="3" s="1"/>
  <c r="B52" i="3" s="1"/>
  <c r="E17" i="3"/>
  <c r="B34" i="3"/>
  <c r="B37" i="3" s="1"/>
  <c r="B38" i="3" s="1"/>
  <c r="B63" i="3" s="1"/>
  <c r="B65" i="3" s="1"/>
  <c r="B71" i="3" s="1"/>
  <c r="B47" i="5"/>
  <c r="B44" i="5"/>
  <c r="B12" i="9"/>
  <c r="B31" i="9" s="1"/>
  <c r="B33" i="9" s="1"/>
  <c r="B35" i="9" s="1"/>
  <c r="B36" i="9" s="1"/>
  <c r="B37" i="9" s="1"/>
  <c r="E22" i="10"/>
  <c r="B26" i="10"/>
  <c r="B36" i="10" s="1"/>
  <c r="B39" i="10" s="1"/>
  <c r="B40" i="10" s="1"/>
  <c r="B41" i="10" s="1"/>
  <c r="B30" i="6"/>
  <c r="B31" i="6" s="1"/>
  <c r="B34" i="6" s="1"/>
  <c r="B35" i="6" s="1"/>
  <c r="B36" i="6" s="1"/>
  <c r="E15" i="6"/>
  <c r="B60" i="3" l="1"/>
  <c r="B62" i="3" s="1"/>
  <c r="B70" i="3" s="1"/>
  <c r="B72" i="3" s="1"/>
  <c r="B73" i="3" s="1"/>
  <c r="B74" i="3" s="1"/>
  <c r="B75" i="3" s="1"/>
  <c r="B25" i="4"/>
  <c r="B28" i="4" s="1"/>
  <c r="B39" i="3"/>
  <c r="B24" i="4"/>
  <c r="B30" i="4" s="1"/>
  <c r="B66" i="3" l="1"/>
  <c r="B31" i="4"/>
  <c r="B27" i="4"/>
</calcChain>
</file>

<file path=xl/sharedStrings.xml><?xml version="1.0" encoding="utf-8"?>
<sst xmlns="http://schemas.openxmlformats.org/spreadsheetml/2006/main" count="1099" uniqueCount="531">
  <si>
    <t>Estimation of COVID-19 airborne transmission</t>
  </si>
  <si>
    <t>Developed by:</t>
  </si>
  <si>
    <t xml:space="preserve">Prof. Jose L Jimenez, Dept. of Chem. and CIRES, Univ. of Colorado-Boulder </t>
  </si>
  <si>
    <t xml:space="preserve">Shortcut: </t>
  </si>
  <si>
    <t>https://tinyurl.com/covid-estimator</t>
  </si>
  <si>
    <t xml:space="preserve">Short description of this tool: </t>
  </si>
  <si>
    <t>https://cires.colorado.edu/news/covid-19-airborne-transmission-tool-available</t>
  </si>
  <si>
    <t>Using input or feedback from:</t>
  </si>
  <si>
    <t>Linsey Marr, Shelly Miller, Joel Eaves, Giorgio Buonnano, Jarek Kurnitski, Xavier Querol, Matthew McQueen, Lidia Morawska, Ty Newell,</t>
  </si>
  <si>
    <t>Andrew Maynard, Nathan Skinner, Clark Vangilder</t>
  </si>
  <si>
    <t>(only listing the scientists here, many others have contributed feedback as well over email and Twitter. Thanks a lot to everyone!)</t>
  </si>
  <si>
    <t>(Any mistakes are my own)</t>
  </si>
  <si>
    <t>Version &amp; date</t>
  </si>
  <si>
    <t>2.7.4</t>
  </si>
  <si>
    <t>How to use the estimator</t>
  </si>
  <si>
    <t>This online version will be kept up-to-date. People can enter comments (suggestions for changes, parameters etc.) but not make changes as otherwise people would overwrite each other's changes</t>
  </si>
  <si>
    <t xml:space="preserve">People interested in using the model should download an Excel version from File --&gt; Download </t>
  </si>
  <si>
    <t>(Ignore Excel Errors in some versions, it still works)</t>
  </si>
  <si>
    <t>The online model will continue to be updated, so you may want to re-download the file later on, if you continue to use it, to get the latest updates</t>
  </si>
  <si>
    <t>See the version log at the bottom of this sheet for a brief description of the updates</t>
  </si>
  <si>
    <t>Types of cells</t>
  </si>
  <si>
    <t>Inputs are colored in yellow.</t>
  </si>
  <si>
    <t>These are the cells you should change to explore different cases.</t>
  </si>
  <si>
    <t>Descriptions and intermediate calculations are not colored. Do not overwrite the calculations or you will break the estimator.</t>
  </si>
  <si>
    <t>Outputs are colored in blue.</t>
  </si>
  <si>
    <t>These are the final results of the model for each case. Do not overwrite them or you will break the estimator.</t>
  </si>
  <si>
    <t>Note that in some cases, the case assumes that an infected person is present (e.g. in the classroom). While in other cases we use the prevalence of the disease in the population as</t>
  </si>
  <si>
    <t>an input on the calculations. They can be converted easily, but pay attention to what each specific sheet is doing.</t>
  </si>
  <si>
    <t>What we are trying to estimate</t>
  </si>
  <si>
    <t>The propagation of COVID-19 by airborne transmission ONLY</t>
  </si>
  <si>
    <t>The model is based on a standard model of airborne disease transmission, the Wells-Riley model. It is calibrated to COVID-19 per recent literature on quanta emission rate</t>
  </si>
  <si>
    <t>This is NOT an epidemiological model, rather it takes input from such models for the average rate of infection for a given location and time period</t>
  </si>
  <si>
    <t>This model does NOT include droplet or fomite transmission, and assumes that 6 ft / 2 m social distancing is respected. Otherwise higher transmission will result</t>
  </si>
  <si>
    <t>This model does NOT include transmission to the people present, when they are in locations other than the one analyzed here</t>
  </si>
  <si>
    <t>The model can easily be adapted to other situations, such as offices, shops etc.</t>
  </si>
  <si>
    <t>Simplicity and uncertainties</t>
  </si>
  <si>
    <t>The model is kept simple so that it can be understood and changed easily. The goal is to get the order-of-magnitude of the effects quickly, and to explore the trends.</t>
  </si>
  <si>
    <t>Several parameters are uncertain, and have been estimated based on current knowledge. Alternative estimates can be entered to explore their effect in the results.</t>
  </si>
  <si>
    <t>More complex and realistic models can be built, however the parametric uncertainty may still dominate the total uncertainty</t>
  </si>
  <si>
    <t>Parameters based on new research can be incorporated as they become available. Pls send them my way</t>
  </si>
  <si>
    <t>Disclaimer: this model is our best scientific estimate, based on the information currently available. It is provided in the hope that it will be useful to others, based on us</t>
  </si>
  <si>
    <t>receiving a large number of requests for this type of information. We trust most the relative risk estimates (when changing parameters such as the type</t>
  </si>
  <si>
    <t>of mask worn) of two runs of the model. We also trust the order-of-magnitude of the risk estimates, if the inputs are correct. The exact numerical results</t>
  </si>
  <si>
    <t>for a given case have more uncertainty and also have to be interpreted statistically. (I.e. if 1000 classrooms or 1000 buses did this, that would be the</t>
  </si>
  <si>
    <t>average number of transmission cases. Any one event may have much fewer or many more transmission cases.)</t>
  </si>
  <si>
    <t>Suggestions and improvements</t>
  </si>
  <si>
    <t xml:space="preserve">Please email me for any suggestions for improvements, additional input data etc. </t>
  </si>
  <si>
    <t>jose.jimenez@colorado.edu</t>
  </si>
  <si>
    <t>Technical details</t>
  </si>
  <si>
    <t>The model is based on standard airborne transmission models (Wells-Riley type models), as formulated in Miller et al. 2020, and references therein</t>
  </si>
  <si>
    <t>Miller et al. Skagit Choir Outbreak</t>
  </si>
  <si>
    <t>https://www.medrxiv.org/content/10.1101/2020.06.15.20132027v1</t>
  </si>
  <si>
    <t>Original Wells-Riley model:</t>
  </si>
  <si>
    <t>https://academic.oup.com/aje/article-abstract/107/5/421/58522</t>
  </si>
  <si>
    <t>Buonnano et al. (2020a)</t>
  </si>
  <si>
    <t>https://www.sciencedirect.com/science/article/pii/S0160412020312800</t>
  </si>
  <si>
    <t>Buonnano et al. (2020b)</t>
  </si>
  <si>
    <t>https://www.medrxiv.org/content/10.1101/2020.06.01.20118984v1</t>
  </si>
  <si>
    <t>All sheets are self-contained, except the University case</t>
  </si>
  <si>
    <t>For the University case</t>
  </si>
  <si>
    <t>Approximately scaled for a large University in the Western US for the Fall 2020 semester</t>
  </si>
  <si>
    <t>First, results are calculated for a typical classroom ("Classroom Sheet"), assuming either one student or the professor are infected</t>
  </si>
  <si>
    <t>Assumes enhanced social distancing and masks in place</t>
  </si>
  <si>
    <t>Classroom size does not matter much, since students will scale with it</t>
  </si>
  <si>
    <t>Then, results are scaled to the whole campus ("Campus Sheet"), taking into account the probability of infection in the population</t>
  </si>
  <si>
    <t>Key parameters, sources, and uncertainties</t>
  </si>
  <si>
    <t>The most uncertain parameter is the quanta emission rates for SARS-CoV-2</t>
  </si>
  <si>
    <t>See FAQ sheet for the definition of quanta</t>
  </si>
  <si>
    <t>970 q / h</t>
  </si>
  <si>
    <t>This is from the Miller et al. choir superspreading case</t>
  </si>
  <si>
    <t>This value is at the high end of the Buonnano et al. values provided below, consistent with this being a superspreading event</t>
  </si>
  <si>
    <t>which was likely influenced by a very high emission rate of quanta from the specific index case</t>
  </si>
  <si>
    <t>We do not think that this very high value should be applied to all situations, as that would overestimate the infection risk.</t>
  </si>
  <si>
    <t>Buonnano et al. (2020a, b) provides a range of estimates. Recommended values by the author are:</t>
  </si>
  <si>
    <t>Paper 1</t>
  </si>
  <si>
    <t>Paper 2</t>
  </si>
  <si>
    <t>For a professor delivering a lecture:4.4, 21, and 134 for oral breathing, speaking and aloud speaking (or singing)</t>
  </si>
  <si>
    <t>For a student sitting on a lecture: 4, 16, 97 for oral breathing, speaking and aloud speaking (or singing)</t>
  </si>
  <si>
    <t>For a more general set of activities, provided by the same author, based on their 2nd paper:</t>
  </si>
  <si>
    <t>Resting – Oral breathing = 2.0 quanta/h</t>
  </si>
  <si>
    <t>Resting – Speaking = 9.4 quanta/h</t>
  </si>
  <si>
    <t>Resting – Loudly speaking = 60.5 quanta/h</t>
  </si>
  <si>
    <t>Standing – Oral breathing = 2.3 quanta/h</t>
  </si>
  <si>
    <t>Standing – Speaking = 11.4 quanta/h</t>
  </si>
  <si>
    <t>Standing – Loudly speaking = 65.1 quanta/h</t>
  </si>
  <si>
    <t>Light exercise – Oral breathing = 5.6 quanta/h</t>
  </si>
  <si>
    <t>Light exercise – Speaking = 26.3 quanta/h</t>
  </si>
  <si>
    <t>Light exercise – Loudly speaking = 170 quanta/h</t>
  </si>
  <si>
    <t>Heavy exercise – Oral breathing = 13.5 quanta/h</t>
  </si>
  <si>
    <t>Heavy exercise – Speaking = 63.1 quanta/h</t>
  </si>
  <si>
    <t>Heavy exercise – Loudly speaking = 408 quanta/h</t>
  </si>
  <si>
    <t xml:space="preserve">For comparison, values for measles can be over 5500 q h-1 (Riley et al. above). So COVID-19 is much less transmissible through the air than measles, but it </t>
  </si>
  <si>
    <t>can still be transmitted through aerosols under the right circumstances (indoors, lower ventilation, crowding, longer duration, activities that favor</t>
  </si>
  <si>
    <t>higher emission rates of respiratory aerosols such as singing, talking, aerobic exercise etc.) If you are curious, change the quantum emission rate</t>
  </si>
  <si>
    <t>to 5500 to see what measles would do, if it encountered a susceptible population with its high infectivity.</t>
  </si>
  <si>
    <t>Inhalation Rates</t>
  </si>
  <si>
    <t xml:space="preserve">Values in m3 h-1 from Buonnano et al. 2020a, averaged for males and females (https://www.sciencedirect.com/science/article/pii/S0160412020312800) </t>
  </si>
  <si>
    <r>
      <t xml:space="preserve">Based on </t>
    </r>
    <r>
      <rPr>
        <u/>
        <sz val="10"/>
        <color rgb="FF1155CC"/>
        <rFont val="Arial"/>
        <family val="2"/>
      </rPr>
      <t>https://journals.lww.com/epidem/Citation/1995/03000/132_MEASUREMENT_OF_BREATHING_RATE_AND_VOLUME_IN.162.aspx</t>
    </r>
    <r>
      <rPr>
        <sz val="10"/>
        <color rgb="FF000000"/>
        <rFont val="Arial"/>
        <family val="2"/>
      </rPr>
      <t xml:space="preserve"> </t>
    </r>
  </si>
  <si>
    <t>Resting</t>
  </si>
  <si>
    <t>Standing</t>
  </si>
  <si>
    <t>Light exercise</t>
  </si>
  <si>
    <t>Moderate exercise</t>
  </si>
  <si>
    <t>Heavy exercise</t>
  </si>
  <si>
    <t>Mask efficiencies in reducing virus emission (as they come out the nose and mouth of an infected person)</t>
  </si>
  <si>
    <t>Default value for the general population, with a variety of types of masks (cloth, surgical) and also variation on how well they are worn</t>
  </si>
  <si>
    <t>Reference: Davies et al. (2013)</t>
  </si>
  <si>
    <t>https://pubmed.ncbi.nlm.nih.gov/24229526/</t>
  </si>
  <si>
    <t>This number can vary widely from about 10% to about 80%, depending on the quality of masks and how they are worn.</t>
  </si>
  <si>
    <t>For N95 masks (KN95, FF2). If well fitted and worn their efficiency for the large particles that most likely contain the viruses is 99% or more</t>
  </si>
  <si>
    <t>However we use a lower value for their use in the real world, since most people are not fitted, and they are not worn perfectly and can have leaks</t>
  </si>
  <si>
    <t>For surgical masks, from Milton et al. (2013)</t>
  </si>
  <si>
    <t>https://journals.plos.org/plospathogens/article?id=10.1371/journal.ppat.1003205</t>
  </si>
  <si>
    <t>This is probably too high for the general population, which won't wear surgical masks as well as in a research study. We suggest using 50%</t>
  </si>
  <si>
    <t xml:space="preserve">Mask efficiencies in reducing virus inhalation (for virus already in airborne particles) </t>
  </si>
  <si>
    <t>The physical flows during exhalation and inhalation are different, and affect aerosol particles differently. Therefore the efficiencies are typically different</t>
  </si>
  <si>
    <t>Typical value for the general population, with a variety of types of masks and also variation on how well they are worn</t>
  </si>
  <si>
    <t>Building ventilation rates</t>
  </si>
  <si>
    <t>Literature values for several situations in h-1 (= ACH, air-changes-per-hour)</t>
  </si>
  <si>
    <t>0.5-1.5</t>
  </si>
  <si>
    <t>Houses</t>
  </si>
  <si>
    <t>Typical values with the windows closed. Depends on how airtight the construction is. Older buildings tend to have higher values</t>
  </si>
  <si>
    <t>Windows open</t>
  </si>
  <si>
    <t>Estimate for open windows. Value varies a lot depending on outdoor wind speed and geometry.</t>
  </si>
  <si>
    <t>0.1-8</t>
  </si>
  <si>
    <t>Primary school</t>
  </si>
  <si>
    <t xml:space="preserve">https://www.sciencedirect.com/science/article/abs/pii/S1352231007008758 </t>
  </si>
  <si>
    <t>Univ classroom</t>
  </si>
  <si>
    <t xml:space="preserve">https://link.springer.com/article/10.1007/s00420-008-0301-9 </t>
  </si>
  <si>
    <t>0.4-5</t>
  </si>
  <si>
    <t xml:space="preserve">https://onlinelibrary.wiley.com/doi/full/10.1111/ina.12111 </t>
  </si>
  <si>
    <t xml:space="preserve">https://onlinelibrary.wiley.com/doi/full/10.1111/j.1600-0668.2012.00769.x </t>
  </si>
  <si>
    <t>https://onlinelibrary.wiley.com/doi/full/10.1111/ina.12272</t>
  </si>
  <si>
    <t>Varies</t>
  </si>
  <si>
    <t>ASHRAE 62</t>
  </si>
  <si>
    <t>https://www.ashrae.org/technical-resources/bookstore/standards-62-1-62-2</t>
  </si>
  <si>
    <t xml:space="preserve">This is for commercial buildings. Per Prof. Shelly Miller: "If it was commissioned and maintained properly then this is probably a </t>
  </si>
  <si>
    <r>
      <t>reasonable first estimate (if you can't measure or get hard data from facilities folks) (</t>
    </r>
    <r>
      <rPr>
        <u/>
        <sz val="10"/>
        <color rgb="FF1155CC"/>
        <rFont val="Arial"/>
        <family val="2"/>
      </rPr>
      <t>Link</t>
    </r>
    <r>
      <rPr>
        <sz val="10"/>
        <color rgb="FF000000"/>
        <rFont val="Arial"/>
        <family val="2"/>
      </rPr>
      <t>)</t>
    </r>
  </si>
  <si>
    <t>Table from ASHRAE Std 62.1. The design airflow is the sum of the people (max capacity) and the area terms. Applies to USA</t>
  </si>
  <si>
    <t>This standards will have been applied in the US for buildings built recently. Older buildings will have followed older standards.</t>
  </si>
  <si>
    <t>To use in the other sheets, use the calculation below (example of daycare):</t>
  </si>
  <si>
    <t xml:space="preserve">Rp </t>
  </si>
  <si>
    <t>L/s/person</t>
  </si>
  <si>
    <t>From standard</t>
  </si>
  <si>
    <t>Ra</t>
  </si>
  <si>
    <t>L/s/m2</t>
  </si>
  <si>
    <t>Occupant density</t>
  </si>
  <si>
    <t>people / m2</t>
  </si>
  <si>
    <t>Surface area</t>
  </si>
  <si>
    <t>m2</t>
  </si>
  <si>
    <t>For a specific location</t>
  </si>
  <si>
    <t>Height of room</t>
  </si>
  <si>
    <t xml:space="preserve">m </t>
  </si>
  <si>
    <t>Volume of room</t>
  </si>
  <si>
    <t>m3</t>
  </si>
  <si>
    <t>Product of two above, for a specific location</t>
  </si>
  <si>
    <t>N occupants</t>
  </si>
  <si>
    <t xml:space="preserve">people  </t>
  </si>
  <si>
    <t>Vent Rate</t>
  </si>
  <si>
    <t>L/s</t>
  </si>
  <si>
    <t>Calculated according to standard, per values above</t>
  </si>
  <si>
    <t>Vent. in h-1</t>
  </si>
  <si>
    <t>h-1</t>
  </si>
  <si>
    <t>This is the parameter you need to enter in the spreadsheet</t>
  </si>
  <si>
    <t>Standards for other regions should be roughly similar, but follow guidelines from other associations or national governments.</t>
  </si>
  <si>
    <t>Decay rate of the virus infectivity indoors</t>
  </si>
  <si>
    <t>Literature values in h-1</t>
  </si>
  <si>
    <t>https://www.nejm.org/doi/full/10.1056/nejmc2004973</t>
  </si>
  <si>
    <t>~0</t>
  </si>
  <si>
    <t>https://www.medrxiv.org/content/10.1101/2020.04.13.20063784v1</t>
  </si>
  <si>
    <t>https://academic.oup.com/jid/advance-article/doi/10.1093/infdis/jiaa334/5856149</t>
  </si>
  <si>
    <t>Online estimator based on above (MISSING UV = 0, which is what should be used in most indoor spaces)</t>
  </si>
  <si>
    <t xml:space="preserve">0.2 - 1 </t>
  </si>
  <si>
    <t>https://www.tandfonline.com/doi/full/10.1080/22221751.2020.1777906</t>
  </si>
  <si>
    <t>Deposition of virus-containing aerosol to surfaces</t>
  </si>
  <si>
    <t>An important uncertainty is the size range of the infective particles. Here we assume 1-5 um, based on our read of the literature</t>
  </si>
  <si>
    <t>0.2-2</t>
  </si>
  <si>
    <t>https://www.sciencedirect.com/science/article/abs/pii/S1352231002001577</t>
  </si>
  <si>
    <t>(depends on air speed, particle size range)</t>
  </si>
  <si>
    <t>https://www.sciencedirect.com/science/article/abs/pii/S1296207418305922?via%3Dihub</t>
  </si>
  <si>
    <t>(as interpreted in Buonnano et al. 2020a)</t>
  </si>
  <si>
    <t>Probability of someone being infected in a given region and time period</t>
  </si>
  <si>
    <t>This depends on the state of the pandemic in a given region and time period</t>
  </si>
  <si>
    <t xml:space="preserve">It is an output of epidemiological models, so best to use that information for your region and time period of interest. </t>
  </si>
  <si>
    <t>A range of values is estimated below to provide some bounds. An in-between value of 0.3% is used as default, as the approx. geometric mean of the results below</t>
  </si>
  <si>
    <t>One estimate for NYC at the height for their large outbreak in March-May 2020</t>
  </si>
  <si>
    <t>Fraction of of the population got infected over a period of 2 months</t>
  </si>
  <si>
    <t>Duration of infective period</t>
  </si>
  <si>
    <t>days</t>
  </si>
  <si>
    <t>Fraction of population infective at a given time:</t>
  </si>
  <si>
    <t>Another estimate for Boulder, CO in early June 2020 (low prevalence):</t>
  </si>
  <si>
    <t>New cases per day per 100,000 people (from NYT database)</t>
  </si>
  <si>
    <t>Fraction of asymptomatic or unreported cases</t>
  </si>
  <si>
    <t>Version log</t>
  </si>
  <si>
    <t>Made public through Twitter</t>
  </si>
  <si>
    <t>2.1-2.4</t>
  </si>
  <si>
    <t>Made various clarifications  and references to the text</t>
  </si>
  <si>
    <t>Some more clarifications, fixed some issues with text, added outdoors and demonstration cases</t>
  </si>
  <si>
    <t>2.6 and later</t>
  </si>
  <si>
    <t>24-27 June</t>
  </si>
  <si>
    <t>Some clarifications to the text, added FAQs sheet and more detail on the input parameters</t>
  </si>
  <si>
    <t>2.7 and later</t>
  </si>
  <si>
    <t>28-29 June</t>
  </si>
  <si>
    <t>Fixed mistake in description of Campus / B11 and / B12. Added and reorganized FAQs. Added ASHRAE Standards calculator</t>
  </si>
  <si>
    <t>FAQs about Estimator of COVID-19 Airborne Transmission</t>
  </si>
  <si>
    <t>FAQs about the estimator itself</t>
  </si>
  <si>
    <t>Is there some general explanation of your tool for a general audience?</t>
  </si>
  <si>
    <r>
      <t xml:space="preserve">Yes, see this CIRES Press Release: </t>
    </r>
    <r>
      <rPr>
        <u/>
        <sz val="10"/>
        <color rgb="FF1155CC"/>
        <rFont val="Arial"/>
        <family val="2"/>
      </rPr>
      <t>https://cires.colorado.edu/news/covid-19-airborne-transmission-tool-available</t>
    </r>
  </si>
  <si>
    <r>
      <t xml:space="preserve">This blog post from Prof. Andrew Maynard applies the model to a one semester course at his University and explores the trends in the results: </t>
    </r>
    <r>
      <rPr>
        <u/>
        <sz val="10"/>
        <color rgb="FF1155CC"/>
        <rFont val="Arial"/>
        <family val="2"/>
      </rPr>
      <t>https://therealandrewmaynard.com/2020/06/28/estimating-personal-risk-of-contracting-covid19-while-attending-class/</t>
    </r>
    <r>
      <rPr>
        <sz val="10"/>
        <color rgb="FF000000"/>
        <rFont val="Arial"/>
        <family val="2"/>
      </rPr>
      <t xml:space="preserve"> </t>
    </r>
  </si>
  <si>
    <t>I get some Excel errors when I open the spreadsheet, do these matter?</t>
  </si>
  <si>
    <t>The downloaded spreadsheet can give some nominal errors when opening in Excel, but if you say "yes" it seems to run fine, so we don't think those affect anything. Nobody has told me that it doesn't work for them, once they download.</t>
  </si>
  <si>
    <t>I wouldn't know how to change that, since it is a native GSheet and Google is converting it into Excel. Sorry for the confusion this may cause.</t>
  </si>
  <si>
    <t>How do I model a situation in which only some people are wearing masks?</t>
  </si>
  <si>
    <t>You can run two cases, one with masks and one without, and that will bound the probability of infection. Or you can multiply the mask efficiency by the fraction of the people wearing masks, for both emission and inhalation. So for example if 50% of the people are wearing surgical / clothy masks, you would enter 25% (0.5 * 50%) for emission efficiency, and 15% (0.5 * 30%) for inhalation efficiency</t>
  </si>
  <si>
    <t>If I use the classroom-campus sheets, and I double the class duration and half the number of classes, the number of cases increases. Is this a bug?</t>
  </si>
  <si>
    <t>If you shorten the semester to 6.5 weeks, double number of class periods, to get the same h/ semester for student and instructor , the number of cases stays the same</t>
  </si>
  <si>
    <t>If you double the class period to 100 min, but reduce the number of class periods (for students) from 2 to 1 in the default case, the number of cases increases from 593 to 704 student cases. This is slightly non-linear because the longer class period allows more accumulation of infectious quanta in the room, so the 2nd 50 min. have a higher probability of infection than the first 50 min.</t>
  </si>
  <si>
    <t>What is a quanta?</t>
  </si>
  <si>
    <r>
      <t xml:space="preserve">A quanta is defined as an infectious dose of virus, whose inhalation leads to a 63% probability of infection. It is part of the Wells-Riley model of airborne infection, see </t>
    </r>
    <r>
      <rPr>
        <u/>
        <sz val="10"/>
        <color rgb="FF1155CC"/>
        <rFont val="Arial"/>
        <family val="2"/>
      </rPr>
      <t>https://academic.oup.com/aje/article-abstract/107/5/421/58522</t>
    </r>
  </si>
  <si>
    <t>Quanta are specific for each disease. They lump together in an empirical parameter the rate of emission of viruses as part of respiratory particles in exhaled breath, the infectivity of the viruses upon emission, the particle size distribution of the emissions, the deposition efficiency and deposition location in the respiratory track of the susceptible person of those particles, and the probability that deposition leads to infection. Trying to model each of those parameters explicitly is daunting. As each parameter by itself is quite uncertain, especially for a new disease like COVID-19, the resulting uncertainty of the fully detailed model would be enormous. We can instead use the concept of quanta, and calibrate the emission rate to known outbreaks of the disease. In this way we can do realistic modeling (as in this tool) even with incomplete information about all those factors.</t>
  </si>
  <si>
    <t>What quanta to use for singing or shouting?</t>
  </si>
  <si>
    <t>We believe the value of 970 q h-1 is realistic for the Skagit Choir case. It does seem that this was probably a "super-emitter" case, i.e. a person who was emitting an unusually high amount of virus. Values for loudly speaking / singing recommended by Buonnano range 60-400 q h-1 depending on the level of activity of the person (see "Readme" sheet). So it depends what you are trying to simulate. If you want to see the probability for a worst-case scenario, then use 970 q h-1. For a more typical case, we would recommend 150 q h-1. In any case it is the RELATIVE risk when you change something (ventilation, masking...) that is most meaningful, and that will be much more similar for the two emission rates.</t>
  </si>
  <si>
    <t>Why haven't you included eye protection?</t>
  </si>
  <si>
    <t xml:space="preserve">We do know that COVID-19 can be transmitted through the eyes. So if virus-laden aerosol particles land on the eyes, infection can result. </t>
  </si>
  <si>
    <t xml:space="preserve">For this reason we recommend wearing eye protection, such as glasses, goggles, etc. in indoor or crowded outdoor situations. </t>
  </si>
  <si>
    <t>However, there is no information we know of about the relative importance of transmission through inhalation or through the eyes, so it is not possible to quantitatively include the impact of eye protection. The estimator assumes that the inhalation route is dominant.</t>
  </si>
  <si>
    <t>Can I use the estimator to model the time series of infections for the students in my class over an academic year?</t>
  </si>
  <si>
    <t>You would need a more complex model than this one. This is for two reasons: (a) this model only accounts for airborne transmission, but students may transmit the disease (during school time) through the contact or droplet routes as well, e.g. if distancing is not well followed. (b) most importantly, the students are part of a larger society, they may get COVID-19 from a sibling that goes to a different school, their parents, their friends when they interact outside of school or at a party, when they travel out of town etc. So one really needs an epidemiological time series model that accounts for all the interactions in society. This airborne model addresses a smaller piece, and can perhaps be used to fine-tune some of the parameters that go into epidemiological models.</t>
  </si>
  <si>
    <t>Can you add CO2 levels as an indicator?</t>
  </si>
  <si>
    <t>Yes, this is useful and we will add it as soon as we can.</t>
  </si>
  <si>
    <r>
      <t xml:space="preserve">This is described in Milton et al. (2003): </t>
    </r>
    <r>
      <rPr>
        <u/>
        <sz val="10"/>
        <color rgb="FF1155CC"/>
        <rFont val="Arial"/>
        <family val="2"/>
      </rPr>
      <t>https://onlinelibrary.wiley.com/doi/abs/10.1034/j.1600-0668.2000.010004212.x</t>
    </r>
  </si>
  <si>
    <t>FAQs about comparison of this estimator to other related models</t>
  </si>
  <si>
    <t>Are there other models available to try to address this problem?</t>
  </si>
  <si>
    <t>G. Buonnano et al. have developed a more sophisticated model that uses probability distributions of the input parameters and a MonteCarlo approach to calculate the probability of infection. These authors are working to release an Excel version of their model in the future. It will be linked here as soon as it is available. The results of the Buonnano model are consistent with those in this spreadsheet. The model here is simpler and perhaps easier to understand and duplicate into other calculators, while the Buonanno results capture better the statistical aspects of the problem.</t>
  </si>
  <si>
    <r>
      <t xml:space="preserve">Alfred Trukenmueller in Germany &lt;alfred.trukenmueller@gmx.de&gt; has developed a similar spreadsheet (in German) based on the Buonnano et al. model. He has made it available at </t>
    </r>
    <r>
      <rPr>
        <u/>
        <sz val="10"/>
        <color rgb="FF1155CC"/>
        <rFont val="Arial"/>
        <family val="2"/>
      </rPr>
      <t>https://www.magentacloud.de/share/e7esxr9ywc</t>
    </r>
  </si>
  <si>
    <r>
      <t xml:space="preserve">M. Evans has submitted paper with a similar model: </t>
    </r>
    <r>
      <rPr>
        <u/>
        <sz val="10"/>
        <color rgb="FF1155CC"/>
        <rFont val="Arial"/>
        <family val="2"/>
      </rPr>
      <t>https://www.medrxiv.org/content/10.1101/2020.05.21.20108894v3</t>
    </r>
    <r>
      <rPr>
        <sz val="10"/>
        <color rgb="FF000000"/>
        <rFont val="Arial"/>
        <family val="2"/>
      </rPr>
      <t xml:space="preserve"> No software is available to our knowledge</t>
    </r>
  </si>
  <si>
    <t>There is also the NIST FaTIMA model, see next FAQ</t>
  </si>
  <si>
    <t>So far the results of all the models are very similar in the comparisons we have done. Nathan Skinner (Park Street Church, Boston) has compared this model with the Buonnano and Evens models for their case, and found consistent results. If you find any discrepancies let us know.</t>
  </si>
  <si>
    <t xml:space="preserve">Is your model similar to the FaTIMA model from NIST? </t>
  </si>
  <si>
    <r>
      <t xml:space="preserve">FaTIMA is at </t>
    </r>
    <r>
      <rPr>
        <u/>
        <sz val="10"/>
        <color rgb="FF1155CC"/>
        <rFont val="Arial"/>
        <family val="2"/>
      </rPr>
      <t>https://www.nist.gov/services-resources/software/fatima</t>
    </r>
  </si>
  <si>
    <t>Yes, both tools are trying to address the same problem and using similar physics and experimental results, but do it slightly differently. Both should be useful to those interested</t>
  </si>
  <si>
    <t>FaTIMA currently has more detail on the building and control measures and one can enter those parameters more directly, while in our estimator those are entered as first order rates already.</t>
  </si>
  <si>
    <t>FaTIMA does not include an infection model, however, while our estimator does. So with FATIMA you can estimate relative exposures, but not infection rates.</t>
  </si>
  <si>
    <t>FaTIMA also does not presently include the effect of masks, or of the breathing rate (which varies with activity level)</t>
  </si>
  <si>
    <r>
      <t xml:space="preserve">Our estimator has all the equations exposed in the spreadsheet formulas, so it is easier to figure out what's going on. Neither model is that complicated mathematically, but having the code be "open source" may get more people to understand what we are doing, and then potentially incorporate it into other tools etc. Documentation for FaTIMA is at </t>
    </r>
    <r>
      <rPr>
        <u/>
        <sz val="10"/>
        <color rgb="FF1155CC"/>
        <rFont val="Arial"/>
        <family val="2"/>
      </rPr>
      <t>https://doi.org/10.6028/NIST.TN.2095</t>
    </r>
    <r>
      <rPr>
        <sz val="10"/>
        <color rgb="FF000000"/>
        <rFont val="Arial"/>
        <family val="2"/>
      </rPr>
      <t xml:space="preserve"> </t>
    </r>
  </si>
  <si>
    <t>Due to the format it may be easier for our estimator to expose different cases, classroom, bus, protest, choir... and have them all there as different sheets. This is only about communication, not the model per se.</t>
  </si>
  <si>
    <t>The most important output is to estimate the relative risk of different actions, and that can be done with both tools (except for masks)</t>
  </si>
  <si>
    <t>This FAQ was written in 25-Jun-2020. Both tools may evolve in the future.</t>
  </si>
  <si>
    <t>FAQs about mitigation techniques for COVID-19 airborne transmission</t>
  </si>
  <si>
    <t>I see that ventilation can be used to reduce transmission. What can I do for my specific case?</t>
  </si>
  <si>
    <r>
      <t xml:space="preserve">See this article for ideas: </t>
    </r>
    <r>
      <rPr>
        <u/>
        <sz val="10"/>
        <color rgb="FF1155CC"/>
        <rFont val="Arial"/>
        <family val="2"/>
      </rPr>
      <t>https://www.sciencedirect.com/science/article/pii/S0160412020317876</t>
    </r>
  </si>
  <si>
    <t>Is germicidal UV a good idea?</t>
  </si>
  <si>
    <t>Generally yes, as long as the UV is away from people to avoid serious eye damage, and as long as ozone is not produced.</t>
  </si>
  <si>
    <r>
      <t xml:space="preserve">See this webinar from Prof. Shelly Miller about it: </t>
    </r>
    <r>
      <rPr>
        <u/>
        <sz val="10"/>
        <color rgb="FF1155CC"/>
        <rFont val="Arial"/>
        <family val="2"/>
      </rPr>
      <t>https://shellym80304.files.wordpress.com/2020/05/isiaq-guv-2-compiled.pdf</t>
    </r>
  </si>
  <si>
    <r>
      <t xml:space="preserve">That said, it is being marketed very aggresively by the companies supplying it, and it is not always the most cost-effective solution (purchase, installation, and maintenance are all significant). Improved ventilation and mask wearing should come first. See this paper for an overview of the building-level strategies: </t>
    </r>
    <r>
      <rPr>
        <u/>
        <sz val="10"/>
        <color rgb="FF1155CC"/>
        <rFont val="Arial"/>
        <family val="2"/>
      </rPr>
      <t>https://www.sciencedirect.com/science/article/pii/S0160412020317876</t>
    </r>
    <r>
      <rPr>
        <sz val="10"/>
        <color rgb="FF000000"/>
        <rFont val="Arial"/>
        <family val="2"/>
      </rPr>
      <t xml:space="preserve"> </t>
    </r>
  </si>
  <si>
    <t>A company is promoting an air cleaning system using ions, plasmas, or OH radicals. Do these systems work?</t>
  </si>
  <si>
    <r>
      <t xml:space="preserve">Be very careful with that type of system. They are being promoted very aggressively, but often there is very little detail given about how the system really works. In some cases claims are made that are obviously wrong or suspicious. See this NYT article as an example: </t>
    </r>
    <r>
      <rPr>
        <u/>
        <sz val="10"/>
        <color rgb="FF1155CC"/>
        <rFont val="Arial"/>
        <family val="2"/>
      </rPr>
      <t>https://www.nytimes.com/2020/06/23/us/politics/trump-arizona-church-covid.htm</t>
    </r>
    <r>
      <rPr>
        <sz val="10"/>
        <color rgb="FF000000"/>
        <rFont val="Arial"/>
        <family val="2"/>
      </rPr>
      <t xml:space="preserve"> Oxidation systems will turn VOCs in the air into more oxidized species, NOT into CO2 and water, and the oxidized species and aerosols formed may actually be worse for health than the original VOCs.</t>
    </r>
  </si>
  <si>
    <r>
      <t xml:space="preserve">My group has done extensive research on similar systems, from the point of view of atmospheric chemistry applications, see </t>
    </r>
    <r>
      <rPr>
        <u/>
        <sz val="10"/>
        <color rgb="FF1155CC"/>
        <rFont val="Arial"/>
        <family val="2"/>
      </rPr>
      <t>https://doi.org/10.1039/C9CS00766K.</t>
    </r>
    <r>
      <rPr>
        <sz val="10"/>
        <color rgb="FF000000"/>
        <rFont val="Arial"/>
        <family val="2"/>
      </rPr>
      <t xml:space="preserve"> I have not seen a lot of peer-reviewed analyses of such systems. There is one in this paper: </t>
    </r>
    <r>
      <rPr>
        <u/>
        <sz val="10"/>
        <color rgb="FF1155CC"/>
        <rFont val="Arial"/>
        <family val="2"/>
      </rPr>
      <t>https://iopscience.iop.org/article/10.1088/1361-6463/ab1466</t>
    </r>
  </si>
  <si>
    <t>FAQs about COVID-19 airborne (aerosol) transmisison</t>
  </si>
  <si>
    <t>How can I learn more about airborne transmission of COVID-19?</t>
  </si>
  <si>
    <r>
      <t xml:space="preserve">There are many resources out there. We would recommend starting with the Miller et al. and Buonnano et al. papers (and their references) and Linsey Marr's Twitter feed: </t>
    </r>
    <r>
      <rPr>
        <u/>
        <sz val="10"/>
        <color rgb="FF1155CC"/>
        <rFont val="Arial"/>
        <family val="2"/>
      </rPr>
      <t>https://twitter.com/linseymarr</t>
    </r>
    <r>
      <rPr>
        <sz val="10"/>
        <color rgb="FF000000"/>
        <rFont val="Arial"/>
        <family val="2"/>
      </rPr>
      <t xml:space="preserve"> See a profile of Prof. Marr at: </t>
    </r>
    <r>
      <rPr>
        <u/>
        <sz val="10"/>
        <color rgb="FF1155CC"/>
        <rFont val="Arial"/>
        <family val="2"/>
      </rPr>
      <t>https://www.nytimes.com/2020/06/12/well/live/Coronavirus-aerosols-linsey-marr.html</t>
    </r>
  </si>
  <si>
    <t>Read her tweets from the start of the pandemic starting from now and in reverse chronological order, and you will find links to many many resources, and discussion of many of the important topics</t>
  </si>
  <si>
    <t>Some in the medical community deny that COVID-19 can be transmitted through aerosols. What do you think of this?</t>
  </si>
  <si>
    <r>
      <t>Unfortunately part of the medical community is literally stuck in science from 1910. Wells in 1934 (</t>
    </r>
    <r>
      <rPr>
        <u/>
        <sz val="10"/>
        <color rgb="FF1155CC"/>
        <rFont val="Arial"/>
        <family val="2"/>
      </rPr>
      <t>https://academic.oup.com/aje/article-abstract/20/3/611/280025</t>
    </r>
    <r>
      <rPr>
        <sz val="10"/>
        <color rgb="FF000000"/>
        <rFont val="Arial"/>
        <family val="2"/>
      </rPr>
      <t xml:space="preserve">) already got it right, but he and others faced extreme resistance to the evidence. For historical / sociological reasons it has been very difficult to change this stance, despite accumulating evidence, including for COVID-19. For example, it is nearly impossible to explain the Skagit Choir case without airborne transmission. I am part of a group of experts trying to change this, and I am also collaborating with Profs. Linsey Marr and Lydia Bourouiba and two historians on a paper on how things got to be this way historically. But we can't wait for the medical community to change its understanding before we get the pandemic under control. </t>
    </r>
  </si>
  <si>
    <r>
      <t xml:space="preserve">There are 3 ways of transmission: contact / fomite, when a person shakes hand or touches an object that an infected person has touched (and the infected person had virus in their hands from touching their nose, a cough etc.). However this is thought to be unlikely (see this from the US CDC </t>
    </r>
    <r>
      <rPr>
        <u/>
        <sz val="10"/>
        <color rgb="FF1155CC"/>
        <rFont val="Arial"/>
        <family val="2"/>
      </rPr>
      <t>https://www.cdc.gov/coronavirus/2019-ncov/prevent-getting-sick/how-covid-spreads.html</t>
    </r>
    <r>
      <rPr>
        <sz val="10"/>
        <color rgb="FF000000"/>
        <rFont val="Arial"/>
        <family val="2"/>
      </rPr>
      <t xml:space="preserve"> ) , in particular because enveloped viruses like SARS-CoV-2 only survive for ~5 minutes on hands ( </t>
    </r>
    <r>
      <rPr>
        <u/>
        <sz val="10"/>
        <color rgb="FF1155CC"/>
        <rFont val="Arial"/>
        <family val="2"/>
      </rPr>
      <t>https://pubmed.ncbi.nlm.nih.gov/6282993</t>
    </r>
    <r>
      <rPr>
        <sz val="10"/>
        <color rgb="FF000000"/>
        <rFont val="Arial"/>
        <family val="2"/>
      </rPr>
      <t xml:space="preserve"> ). The second way is droplet transmission, when large ballistic droplets in a cough or sneeze land on the eyes, nostrils, or mouth of another person. And the third is aerosol ("airborne") transmission, when particles smaller than ~50 microns (not 5 um as it is often repeated in error) are inhaled by a health person. The pandemic is likely being driven by asymptomatic or pre-symptomatic spread, and those people don't cough, leaving airborne transmission as the main likely route. It is also likely being driven by super-spreading events, and those (like the Skagit choir) are very very hard to explain without airborne transmission.</t>
    </r>
  </si>
  <si>
    <t>COVID-19 does not have a high reproductive number (R0). Thus can't we rule out that it is airborne?</t>
  </si>
  <si>
    <t>No. This is an argument often made by some in the medical community to argue that COVID-19 is not airborne at all. However the argument is flawed and based on a logic error. The argument is based on the assumption that a disease is either airborne, and then it will display the transmission characteristics of measles or tuberculosis, or otherwise it is not airborne at all. No intermediate cases are possible. Thisassumption makes no sense, and there is no basis for it.</t>
  </si>
  <si>
    <r>
      <t xml:space="preserve">Different diseases have different fractions and ease of transmission via the airborne route. For example tuberculosis is only transmitted via aerosols. COVID-19 is transmitted in several ways, including through aerosols. And it is a lot less transmissible than TB or measles through aerosols, but that does not mean that it is not transmissible. We call it "opportunistic airborne", meaning that it will transmit well through aerosols only under certain conditions: indoors, crowding, low ventilation, long duration (which can be quantified by the estimator).There is a lot of evidence to support this, see for example </t>
    </r>
    <r>
      <rPr>
        <u/>
        <sz val="10"/>
        <color rgb="FF1155CC"/>
        <rFont val="Arial"/>
        <family val="2"/>
      </rPr>
      <t>https://www.journalofhospitalinfection.com/article/S0195-6701(20)30245-0/fulltext</t>
    </r>
    <r>
      <rPr>
        <sz val="10"/>
        <color rgb="FF000000"/>
        <rFont val="Arial"/>
        <family val="2"/>
      </rPr>
      <t xml:space="preserve"> and </t>
    </r>
    <r>
      <rPr>
        <u/>
        <sz val="10"/>
        <color rgb="FF1155CC"/>
        <rFont val="Arial"/>
        <family val="2"/>
      </rPr>
      <t>https://www.medrxiv.org/content/10.1101/2020.06.15.20132027v1</t>
    </r>
  </si>
  <si>
    <t xml:space="preserve">The reproductive number R0 is not indicative of aerosol transmission. Anthrax or hantavirus (in N. America) are transmitted exclusively through aerosols, but their R0 = 0. </t>
  </si>
  <si>
    <t>This can actually be explored with the estimator. To simulate measles, enter quanta emission rates in the range 500-5500 q h-1, and you will see that the infection rates are much greater than for typical COVID-19 cases.</t>
  </si>
  <si>
    <t>My question is not here</t>
  </si>
  <si>
    <t>Shoot me an email &lt;jose.jimenez@colorado.edu&gt;</t>
  </si>
  <si>
    <t>Estimation of COVID-19 airborne transmission in a university classroom</t>
  </si>
  <si>
    <t>Input Parameters</t>
  </si>
  <si>
    <t>Value</t>
  </si>
  <si>
    <t>Value in other units</t>
  </si>
  <si>
    <t>Source</t>
  </si>
  <si>
    <t>sq ft</t>
  </si>
  <si>
    <t>=</t>
  </si>
  <si>
    <t>Typical value</t>
  </si>
  <si>
    <t>Height</t>
  </si>
  <si>
    <t>ft</t>
  </si>
  <si>
    <t>Volume</t>
  </si>
  <si>
    <t>Faculty / instructors</t>
  </si>
  <si>
    <t>person</t>
  </si>
  <si>
    <t>Students</t>
  </si>
  <si>
    <t>people</t>
  </si>
  <si>
    <t>Assuming 65 sq ft per person, per recent CU class layouts</t>
  </si>
  <si>
    <t>Breathing rate (instructor)</t>
  </si>
  <si>
    <t>m3/h</t>
  </si>
  <si>
    <t>Estimated from Miller et al. (2020), for someone talking a lot</t>
  </si>
  <si>
    <t>Breathing rate (students)</t>
  </si>
  <si>
    <t>m3 / h</t>
  </si>
  <si>
    <t>Estimated from Miller et al. (2020), for someone occassionally talking</t>
  </si>
  <si>
    <t>Duration of class period</t>
  </si>
  <si>
    <t>min</t>
  </si>
  <si>
    <t>h</t>
  </si>
  <si>
    <t>Ventilation w/ outside air</t>
  </si>
  <si>
    <t>L/s/per</t>
  </si>
  <si>
    <t>First value is the same as "air changes per hour". Second is used in most guidelines now</t>
  </si>
  <si>
    <t>Decay rate of the virus</t>
  </si>
  <si>
    <t>Average of literature values (0 and 0.62), Miller et al. (2020)</t>
  </si>
  <si>
    <t>Deposition to surfaces</t>
  </si>
  <si>
    <t>Buonnano et al. (2020), Miller et al. (2020). Could vary 0.24-1.5 h-1, depending on particle size range</t>
  </si>
  <si>
    <t>Additional control measures</t>
  </si>
  <si>
    <t xml:space="preserve">E.g. UV disinfection, personal HEPA air cleaner, etc. </t>
  </si>
  <si>
    <t>Total first order loss rate</t>
  </si>
  <si>
    <t>Case in which instructor is infected, students are susceptible</t>
  </si>
  <si>
    <t>Quanta emission rate (instructor)</t>
  </si>
  <si>
    <t>q h-1</t>
  </si>
  <si>
    <t>Estimated from Miller (2020) and Buonnano et al. (2020a, 2020b). See Readme sheet</t>
  </si>
  <si>
    <t>Mask efficiency for emission</t>
  </si>
  <si>
    <t>See readme sheet</t>
  </si>
  <si>
    <t xml:space="preserve">Net emission rate </t>
  </si>
  <si>
    <t>Avg Quanta Concentration</t>
  </si>
  <si>
    <t>q m-3</t>
  </si>
  <si>
    <t>Equation (4) in Miller et al. (2020)</t>
  </si>
  <si>
    <t>Mask efficiency for intake</t>
  </si>
  <si>
    <t>Quanta inhaled per student</t>
  </si>
  <si>
    <t>quanta</t>
  </si>
  <si>
    <t>Probability of infection (1 student)</t>
  </si>
  <si>
    <t>Equation (1) in Miller et al. (2020). This assumes instructor was infected. See "Campus" sheet for more general case</t>
  </si>
  <si>
    <t>Number of COVID cases arising</t>
  </si>
  <si>
    <t>Case in which student is infected, other students and instructor are susceptible</t>
  </si>
  <si>
    <t>Quanta emission rate (student)</t>
  </si>
  <si>
    <t>See readme sheet / Assume potentially different masks types for students and instructor</t>
  </si>
  <si>
    <t>Quanta inhaled per person</t>
  </si>
  <si>
    <t>Probability of infection (1 person)</t>
  </si>
  <si>
    <t>Equation (1) in Miller et al. (2020). This assumes 1 student was infected. See "Campus" sheet for more general case</t>
  </si>
  <si>
    <t>This is for one lecture only, of the length specified above. For a whole semester, see "Campus" sheet</t>
  </si>
  <si>
    <t>Estimation of COVID-19 airborne transmission in a university campus</t>
  </si>
  <si>
    <t>Comments</t>
  </si>
  <si>
    <t>Probability of a student being infected</t>
  </si>
  <si>
    <t>Probability of an instructor being infected</t>
  </si>
  <si>
    <t>Student population of campus</t>
  </si>
  <si>
    <t>Estimated for large Western US university</t>
  </si>
  <si>
    <t>Instructors w/ in-person teaching</t>
  </si>
  <si>
    <t>Estimated for large Western US university, including TAs</t>
  </si>
  <si>
    <t>Indoor classroom periods per student</t>
  </si>
  <si>
    <t>per day</t>
  </si>
  <si>
    <t>Estimated for large Western US university. Duration set in "Classroom" sheet</t>
  </si>
  <si>
    <t>Indoor classroom periods per instructor</t>
  </si>
  <si>
    <t>Duration of semester</t>
  </si>
  <si>
    <t>weeks</t>
  </si>
  <si>
    <t>Total class hours for student per semester</t>
  </si>
  <si>
    <t>h / semester</t>
  </si>
  <si>
    <t>Total class hours for instructor per semester</t>
  </si>
  <si>
    <t>Probability of hospitalization for students</t>
  </si>
  <si>
    <t>Estimated from news reports, varies with time and location</t>
  </si>
  <si>
    <t>Probability of hospitalization for faculty</t>
  </si>
  <si>
    <t>Probability of death for students</t>
  </si>
  <si>
    <t>Probability of death for faculty</t>
  </si>
  <si>
    <t>Results: infections, hospitalizations, and deaths</t>
  </si>
  <si>
    <t>Student cases</t>
  </si>
  <si>
    <t>cases</t>
  </si>
  <si>
    <t>Instructor cases</t>
  </si>
  <si>
    <t>Student hospitalizations</t>
  </si>
  <si>
    <t>hospitalizations</t>
  </si>
  <si>
    <t>Instructor hospitalizations</t>
  </si>
  <si>
    <t>Student deaths</t>
  </si>
  <si>
    <t>deaths</t>
  </si>
  <si>
    <t>Instructor deaths</t>
  </si>
  <si>
    <t>Estimation of COVID-19 airborne transmission in a subway car</t>
  </si>
  <si>
    <t>from info provided by subway operator</t>
  </si>
  <si>
    <t>probability of being infected</t>
  </si>
  <si>
    <t>passengers on car</t>
  </si>
  <si>
    <t>typical value</t>
  </si>
  <si>
    <t xml:space="preserve">Breathing rate </t>
  </si>
  <si>
    <t>Duration of subway ride</t>
  </si>
  <si>
    <t>volumetric recirc air</t>
  </si>
  <si>
    <t>cfm</t>
  </si>
  <si>
    <t>filter efficiency</t>
  </si>
  <si>
    <t>assumption</t>
  </si>
  <si>
    <t>Volumetric recirc air particle free</t>
  </si>
  <si>
    <t>L/s/P</t>
  </si>
  <si>
    <t>ventilation w/ filtered recirc air</t>
  </si>
  <si>
    <t>volumetric rate outside air</t>
  </si>
  <si>
    <t>Same as "air changes per hour"</t>
  </si>
  <si>
    <t>total volumetric rate</t>
  </si>
  <si>
    <t>total ventilation AER</t>
  </si>
  <si>
    <t>Case in which one passenger is infected, rest of travelers are susceptible</t>
  </si>
  <si>
    <t>Quanta emission rate (per infector)</t>
  </si>
  <si>
    <t>Mix of breathing and speaking - see readme sheet</t>
  </si>
  <si>
    <t>Net emission rate all infected</t>
  </si>
  <si>
    <t>Quanta inhaled per passenger</t>
  </si>
  <si>
    <t>including infector</t>
  </si>
  <si>
    <t>Probability of infection (1 passenger)</t>
  </si>
  <si>
    <t>Equation (1) in Miller et al. (2020)</t>
  </si>
  <si>
    <t>Number of COVID cases arising on 1 car</t>
  </si>
  <si>
    <t>Daily ridership</t>
  </si>
  <si>
    <t>daily total of COVID cases arising</t>
  </si>
  <si>
    <t>Estimation of COVID-19 airborne transmission in an urban bus</t>
  </si>
  <si>
    <t>Provided by bus operator</t>
  </si>
  <si>
    <t>Passengers</t>
  </si>
  <si>
    <t>Capacity is 50 people, provided by bus operator. Assuming 80% full for this estimation</t>
  </si>
  <si>
    <t>Breathing rate</t>
  </si>
  <si>
    <t>Duration of trip</t>
  </si>
  <si>
    <t>Typical value. People may come in and out for urban buses, that mixes people and will increase transmission more</t>
  </si>
  <si>
    <t>Fraction of population infected</t>
  </si>
  <si>
    <t>Number of passengers infected</t>
  </si>
  <si>
    <t>Case with one person infected, everyone else is susceptible</t>
  </si>
  <si>
    <t>Quanta emission rate</t>
  </si>
  <si>
    <t>Avg Quanta Conc. (1 infected)</t>
  </si>
  <si>
    <t>Avg Quanta Conc. (w/ prob of inf.)</t>
  </si>
  <si>
    <t>Estimation of COVID-19 airborne transmission for the Skagit Valley Choir Outbreak (Miller et al 2020)</t>
  </si>
  <si>
    <t>Values for Skagit choir</t>
  </si>
  <si>
    <t>Index case</t>
  </si>
  <si>
    <t>From Hamner et al. (2020)</t>
  </si>
  <si>
    <t>Susceptible people</t>
  </si>
  <si>
    <t>Breathing rate (index case)</t>
  </si>
  <si>
    <t>Estimated from Miller et al. (2020), for someone singing</t>
  </si>
  <si>
    <t>Breathing rate (susceptible)</t>
  </si>
  <si>
    <t>Duration of event</t>
  </si>
  <si>
    <t>Quanta emission rate (infected)</t>
  </si>
  <si>
    <t>From Miller et al. (2020)</t>
  </si>
  <si>
    <t>Exhalation mask efficiency</t>
  </si>
  <si>
    <t>No masks were worn</t>
  </si>
  <si>
    <t>Includes the number of index cases above</t>
  </si>
  <si>
    <t>Estimation of COVID-19 airborne transmission outdoors during daytime, relatively crowded conditions (1.3 persons / m2)</t>
  </si>
  <si>
    <t>Just assuming a value, similar to choir outbreak case</t>
  </si>
  <si>
    <t>Assuming that air within this height can get mixed to respiratory height</t>
  </si>
  <si>
    <t>Infected people</t>
  </si>
  <si>
    <t>Wind speed</t>
  </si>
  <si>
    <t>km/ h</t>
  </si>
  <si>
    <t>m/s</t>
  </si>
  <si>
    <r>
      <t xml:space="preserve">Typical daytime US wind speed per </t>
    </r>
    <r>
      <rPr>
        <u/>
        <sz val="10"/>
        <color rgb="FF1155CC"/>
        <rFont val="Arial"/>
        <family val="2"/>
      </rPr>
      <t>https://sciencing.com/average-daily-wind-speed-24011.html</t>
    </r>
  </si>
  <si>
    <t>Same as "air changes per hour", calculated approximately from the wind speed</t>
  </si>
  <si>
    <r>
      <t xml:space="preserve">Estimated (UV index 5, default T &amp; RH) from </t>
    </r>
    <r>
      <rPr>
        <u/>
        <sz val="10"/>
        <color rgb="FF1155CC"/>
        <rFont val="Arial"/>
        <family val="2"/>
      </rPr>
      <t>https://www.dhs.gov/science-and-technology/sars-airborne-calculator</t>
    </r>
    <r>
      <rPr>
        <sz val="10"/>
        <color rgb="FF000000"/>
        <rFont val="Arial"/>
        <family val="2"/>
      </rPr>
      <t xml:space="preserve"> </t>
    </r>
  </si>
  <si>
    <t>Just assuming a value, similar to choir outbreak case. This should be an upper limit for COVID-19. See Readme</t>
  </si>
  <si>
    <t>Instructor mask efficiency</t>
  </si>
  <si>
    <t>No masks were worn, for comparison with choir outbreak</t>
  </si>
  <si>
    <t>Includes the number of infected people above</t>
  </si>
  <si>
    <t>Estimation of COVID-19 airborne transmission outdoors during daytime, demonstration (5 people / m2)</t>
  </si>
  <si>
    <t>Prob. of demonstrator infected</t>
  </si>
  <si>
    <t>Number of infected people</t>
  </si>
  <si>
    <r>
      <t xml:space="preserve">Assume 5 people per m2, per </t>
    </r>
    <r>
      <rPr>
        <u/>
        <sz val="10"/>
        <color rgb="FF1155CC"/>
        <rFont val="Arial"/>
        <family val="2"/>
      </rPr>
      <t>http://www.gkstill.com/Support/crowd-density/CrowdDensity-1.html</t>
    </r>
    <r>
      <rPr>
        <sz val="10"/>
        <color rgb="FF000000"/>
        <rFont val="Arial"/>
        <family val="2"/>
      </rPr>
      <t xml:space="preserve"> </t>
    </r>
  </si>
  <si>
    <t>Typical value for a demonstration. Also similar to choir outbreak case</t>
  </si>
  <si>
    <r>
      <t xml:space="preserve">Typical daytime US wind speed per </t>
    </r>
    <r>
      <rPr>
        <u/>
        <sz val="10"/>
        <color rgb="FF1155CC"/>
        <rFont val="Arial"/>
        <family val="2"/>
      </rPr>
      <t>https://sciencing.com/average-daily-wind-speed-24011.html</t>
    </r>
  </si>
  <si>
    <r>
      <t xml:space="preserve">Estimated (UV index 5, default T &amp; RH) from </t>
    </r>
    <r>
      <rPr>
        <u/>
        <sz val="10"/>
        <color rgb="FF1155CC"/>
        <rFont val="Arial"/>
        <family val="2"/>
      </rPr>
      <t>https://www.dhs.gov/science-and-technology/sars-airborne-calculator</t>
    </r>
    <r>
      <rPr>
        <sz val="10"/>
        <color rgb="FF000000"/>
        <rFont val="Arial"/>
        <family val="2"/>
      </rPr>
      <t xml:space="preserve"> </t>
    </r>
  </si>
  <si>
    <t>People talking loudly, see readme sheet</t>
  </si>
  <si>
    <t>Emission mask efficiency</t>
  </si>
  <si>
    <t>Assume 80% mask wearing, like Black Lives Matter demonstrations in US</t>
  </si>
  <si>
    <t>https://en.wikipedia.org/wiki/BOK_Center and estimated from Google maps</t>
  </si>
  <si>
    <t>https://en.wikipedia.org/wiki/BOK_Center</t>
  </si>
  <si>
    <t>Attendees</t>
  </si>
  <si>
    <t>Estimated from Miller et al. (2020), for someone talking, shouting, cheering part of the time</t>
  </si>
  <si>
    <t>Duration of Event</t>
  </si>
  <si>
    <t>Typical value, includings some waiting time before event, and time to enter and exit</t>
  </si>
  <si>
    <t>Area of player field</t>
  </si>
  <si>
    <t>https://en.wikipedia.org/wiki/Ice_hockey_rink#Dimensions with buffer at the back</t>
  </si>
  <si>
    <t>Rest of building area</t>
  </si>
  <si>
    <t>Ventilation for player field</t>
  </si>
  <si>
    <t>m3 h-1</t>
  </si>
  <si>
    <t>10 L/s/person + 0.9 L/s/m2, per ASHRAE 62.1-2013</t>
  </si>
  <si>
    <t>Ventilation for rest of building</t>
  </si>
  <si>
    <t>3.8 L/s/person + 0.3 L/s/m2, per ASHRAE 62.1-2013</t>
  </si>
  <si>
    <t>Quanta emission rate per person</t>
  </si>
  <si>
    <t>Estimated from Miller (2020) and Buonnano et al. (2020a, 2020b). See Readme sheet, shouting, cheering, talking</t>
  </si>
  <si>
    <t>See readme sheet; Assuming 1/3 of people wearing masks</t>
  </si>
  <si>
    <t>Net emission rate per person</t>
  </si>
  <si>
    <t>Fraction of infected people in OK</t>
  </si>
  <si>
    <t>Total emission rate</t>
  </si>
  <si>
    <t>#ERROR!</t>
  </si>
  <si>
    <t>Probability of an infected student entering class</t>
  </si>
  <si>
    <t>Very rough estimate - depends on a lot of factors. Pro an overestimate at 5%</t>
  </si>
  <si>
    <t>Classes per semester</t>
  </si>
  <si>
    <t>students</t>
  </si>
  <si>
    <t>minutes</t>
  </si>
  <si>
    <t>Infected students wrt class size</t>
  </si>
  <si>
    <t>Based on probability of participants being infected by an infectious instructor or student in the class</t>
  </si>
  <si>
    <t>Parameters</t>
  </si>
  <si>
    <t>Class length</t>
  </si>
  <si>
    <t>Ventilation rate:</t>
  </si>
  <si>
    <t>sq. ft</t>
  </si>
  <si>
    <t>Room size:</t>
  </si>
  <si>
    <t>Students in class</t>
  </si>
  <si>
    <t>With masks</t>
  </si>
  <si>
    <t>Without masks</t>
  </si>
  <si>
    <t>Number of infected students</t>
  </si>
  <si>
    <t>Infected students wrt room size</t>
  </si>
  <si>
    <t>Room Size</t>
  </si>
  <si>
    <t>Students per class</t>
  </si>
  <si>
    <t>(tight fit in smallest room)</t>
  </si>
  <si>
    <t>Risk wrt class size</t>
  </si>
  <si>
    <t>Risk wrt room size</t>
  </si>
  <si>
    <t>Personal risk of infection</t>
  </si>
  <si>
    <t xml:space="preserve">Risk wrt ventilation rate </t>
  </si>
  <si>
    <t>Ventilation rate</t>
  </si>
  <si>
    <t>Occupancy</t>
  </si>
  <si>
    <t>Ocupancy</t>
  </si>
  <si>
    <t>25 students</t>
  </si>
  <si>
    <t>Risk mitigation</t>
  </si>
  <si>
    <t>Scenario</t>
  </si>
  <si>
    <t>Room size</t>
  </si>
  <si>
    <t>Reduce students by 50%</t>
  </si>
  <si>
    <t>Reduce class time by 50%</t>
  </si>
  <si>
    <t>Reduce number of classes by 50%</t>
  </si>
  <si>
    <t xml:space="preserve">Baseline </t>
  </si>
  <si>
    <t>Personal risk of infection (%)</t>
  </si>
  <si>
    <t>NOTES</t>
  </si>
  <si>
    <t>Number of students in class * Probability of student entering class being infected</t>
  </si>
  <si>
    <t>From B51. Independent of number of students in class</t>
  </si>
  <si>
    <t>From B38. Independent of number of instructors in class</t>
  </si>
  <si>
    <t>Number of instructors in class * probability of instructor entering class being infected</t>
  </si>
  <si>
    <t>Prob of infection if have 1 infectious student in class</t>
  </si>
  <si>
    <t>Prob of an infectious student being in class</t>
  </si>
  <si>
    <t>Prob of infection if have 1 infectious instructor in class</t>
  </si>
  <si>
    <t>Prob of an infectious instructor being in class</t>
  </si>
  <si>
    <t>Risk of infection from infectious students in class</t>
  </si>
  <si>
    <t>Risk of infection from infectious instructors in class</t>
  </si>
  <si>
    <t>Personal risk of infection (all classes)</t>
  </si>
  <si>
    <t>Varying percentage of infected students</t>
  </si>
  <si>
    <t>variable</t>
  </si>
  <si>
    <t>(assume clean instructor)</t>
  </si>
  <si>
    <t>Probability of a student enteringe the class being infectious (%)</t>
  </si>
  <si>
    <t>Estimated personal risk of infection to students over the course of a semester (Maynard and Jimenez)</t>
  </si>
  <si>
    <t>SIMPLIFIED CALCULATION - VALID AT LOW RISKS PER CLASS, AND SMALL NUMBERS OF CLASSES. SEE BELOW FOR MORE ACCURATE EXPRESSION</t>
  </si>
  <si>
    <t>(B60)*(B61) - infectious students in class * risk of infection from 1 infected student</t>
  </si>
  <si>
    <t>(B63)*(B64) - infectious instructors in class * risk of infection from 1 infected instructor</t>
  </si>
  <si>
    <t>(B62+B65)*Number of classes</t>
  </si>
  <si>
    <t>Risk of NOT being infected in a class</t>
  </si>
  <si>
    <t>Summed risk of infection in 1 class</t>
  </si>
  <si>
    <t>Risk of infection from infectious instructors in  1 class</t>
  </si>
  <si>
    <t>Risk of infection from infectious students in 1 class</t>
  </si>
  <si>
    <t>B70 + B71</t>
  </si>
  <si>
    <t>Risk of NOT being infected over the whole term/semester</t>
  </si>
  <si>
    <t>Risk of being infected over the whole tem/semester</t>
  </si>
  <si>
    <t>(Risk of not being infected)^Number of classes</t>
  </si>
  <si>
    <t>1-(risk of not being infected over term/semester)</t>
  </si>
  <si>
    <t>1-(risk of infection - one class)</t>
  </si>
  <si>
    <t xml:space="preserve">MORE ACCURATE CALCULATION - ADDED BASED ON FEEDBACK ON WEB ARTICLE. USE THIS! </t>
  </si>
  <si>
    <t>Additional calculations added to Classroom tab by Andrew Maynard.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</si>
</sst>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m\-d"/>
    <numFmt numFmtId="166" formatCode="0.0%"/>
    <numFmt numFmtId="167" formatCode="d\-mmm\-yyyy"/>
    <numFmt numFmtId="168" formatCode="0.000"/>
    <numFmt numFmtId="169" formatCode="0.00000"/>
    <numFmt numFmtId="170" formatCode="0.0000%"/>
    <numFmt numFmtId="171" formatCode="0.0000"/>
    <numFmt numFmtId="172" formatCode="0.000%"/>
  </numFmts>
  <fonts count="27">
    <font>
      <sz val="10"/>
      <color rgb="FF000000"/>
      <name val="Arial"/>
    </font>
    <font>
      <sz val="10"/>
      <color theme="1"/>
      <name val="Arial"/>
      <family val="2"/>
    </font>
    <font>
      <b/>
      <sz val="14"/>
      <color theme="1"/>
      <name val="Arial"/>
      <family val="2"/>
    </font>
    <font>
      <sz val="14"/>
      <color theme="1"/>
      <name val="Arial"/>
      <family val="2"/>
    </font>
    <font>
      <u/>
      <sz val="10"/>
      <color rgb="FF1155CC"/>
      <name val="Arial"/>
      <family val="2"/>
    </font>
    <font>
      <b/>
      <sz val="10"/>
      <color theme="1"/>
      <name val="Arial"/>
      <family val="2"/>
    </font>
    <font>
      <b/>
      <u/>
      <sz val="10"/>
      <color rgb="FF0000FF"/>
      <name val="Arial"/>
      <family val="2"/>
    </font>
    <font>
      <u/>
      <sz val="11"/>
      <color rgb="FF1155CC"/>
      <name val="Arial"/>
      <family val="2"/>
    </font>
    <font>
      <sz val="10"/>
      <name val="Arial"/>
      <family val="2"/>
    </font>
    <font>
      <b/>
      <sz val="10"/>
      <name val="Arial"/>
      <family val="2"/>
    </font>
    <font>
      <u/>
      <sz val="10"/>
      <color rgb="FF0000FF"/>
      <name val="Arial"/>
      <family val="2"/>
    </font>
    <font>
      <u/>
      <sz val="10"/>
      <color rgb="FF1155CC"/>
      <name val="Arial"/>
      <family val="2"/>
    </font>
    <font>
      <sz val="10"/>
      <color rgb="FF222222"/>
      <name val="Arial"/>
      <family val="2"/>
    </font>
    <font>
      <sz val="10"/>
      <color rgb="FF000000"/>
      <name val="Roboto"/>
    </font>
    <font>
      <u/>
      <sz val="10"/>
      <color rgb="FF0000FF"/>
      <name val="Arial"/>
      <family val="2"/>
    </font>
    <font>
      <u/>
      <sz val="10"/>
      <color rgb="FF1155CC"/>
      <name val="Roboto"/>
    </font>
    <font>
      <sz val="10"/>
      <color rgb="FF000000"/>
      <name val="Arial"/>
      <family val="2"/>
    </font>
    <font>
      <u/>
      <sz val="10"/>
      <color rgb="FF1155CC"/>
      <name val="Arial"/>
      <family val="2"/>
    </font>
    <font>
      <sz val="10"/>
      <color rgb="FF000000"/>
      <name val="Arial"/>
      <family val="2"/>
    </font>
    <font>
      <u/>
      <sz val="10"/>
      <color rgb="FF000000"/>
      <name val="Roboto"/>
    </font>
    <font>
      <u/>
      <sz val="10"/>
      <color rgb="FF0000FF"/>
      <name val="Arial"/>
      <family val="2"/>
    </font>
    <font>
      <u/>
      <sz val="10"/>
      <color rgb="FF222222"/>
      <name val="Arial"/>
      <family val="2"/>
    </font>
    <font>
      <u/>
      <sz val="10"/>
      <color rgb="FF000000"/>
      <name val="Arial"/>
      <family val="2"/>
    </font>
    <font>
      <sz val="10"/>
      <color rgb="FF000000"/>
      <name val="Arial"/>
      <family val="2"/>
    </font>
    <font>
      <b/>
      <sz val="10"/>
      <color theme="0"/>
      <name val="Arial"/>
      <family val="2"/>
    </font>
    <font>
      <sz val="10"/>
      <color theme="0"/>
      <name val="Arial"/>
      <family val="2"/>
    </font>
    <font>
      <b/>
      <sz val="10"/>
      <color rgb="FF000000"/>
      <name val="Arial"/>
      <family val="2"/>
    </font>
  </fonts>
  <fills count="14">
    <fill>
      <patternFill patternType="none"/>
    </fill>
    <fill>
      <patternFill patternType="gray125"/>
    </fill>
    <fill>
      <patternFill patternType="solid">
        <fgColor rgb="FF000000"/>
        <bgColor rgb="FF000000"/>
      </patternFill>
    </fill>
    <fill>
      <patternFill patternType="solid">
        <fgColor rgb="FF00FF00"/>
        <bgColor rgb="FF00FF00"/>
      </patternFill>
    </fill>
    <fill>
      <patternFill patternType="solid">
        <fgColor rgb="FFF9CB9C"/>
        <bgColor rgb="FFF9CB9C"/>
      </patternFill>
    </fill>
    <fill>
      <patternFill patternType="solid">
        <fgColor rgb="FFFFFFFF"/>
        <bgColor rgb="FFFFFFFF"/>
      </patternFill>
    </fill>
    <fill>
      <patternFill patternType="solid">
        <fgColor rgb="FFB6D7A8"/>
        <bgColor rgb="FFB6D7A8"/>
      </patternFill>
    </fill>
    <fill>
      <patternFill patternType="solid">
        <fgColor rgb="FFFCE5CD"/>
        <bgColor rgb="FFFCE5CD"/>
      </patternFill>
    </fill>
    <fill>
      <patternFill patternType="solid">
        <fgColor rgb="FFFFF2CC"/>
        <bgColor rgb="FFFFF2CC"/>
      </patternFill>
    </fill>
    <fill>
      <patternFill patternType="solid">
        <fgColor rgb="FFC9DAF8"/>
        <bgColor rgb="FFC9DAF8"/>
      </patternFill>
    </fill>
    <fill>
      <patternFill patternType="solid">
        <fgColor theme="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79998168889431442"/>
        <bgColor indexed="64"/>
      </patternFill>
    </fill>
  </fills>
  <borders count="1">
    <border>
      <left/>
      <right/>
      <top/>
      <bottom/>
      <diagonal/>
    </border>
  </borders>
  <cellStyleXfs count="2">
    <xf numFmtId="0" fontId="0" fillId="0" borderId="0"/>
    <xf numFmtId="9" fontId="23" fillId="0" borderId="0" applyFont="0" applyFill="0" applyBorder="0" applyAlignment="0" applyProtection="0"/>
  </cellStyleXfs>
  <cellXfs count="136">
    <xf numFmtId="0" fontId="0" fillId="0" borderId="0" xfId="0" applyFont="1" applyAlignment="1"/>
    <xf numFmtId="0" fontId="1" fillId="2" borderId="0" xfId="0" applyFont="1" applyFill="1"/>
    <xf numFmtId="0" fontId="2" fillId="3" borderId="0" xfId="0" applyFont="1" applyFill="1" applyAlignment="1"/>
    <xf numFmtId="0" fontId="3" fillId="3" borderId="0" xfId="0" applyFont="1" applyFill="1"/>
    <xf numFmtId="0" fontId="1" fillId="0" borderId="0" xfId="0" applyFont="1" applyAlignment="1"/>
    <xf numFmtId="0" fontId="4" fillId="0" borderId="0" xfId="0" applyFont="1" applyAlignment="1"/>
    <xf numFmtId="0" fontId="5" fillId="4" borderId="0" xfId="0" applyFont="1" applyFill="1" applyAlignment="1"/>
    <xf numFmtId="0" fontId="6" fillId="4" borderId="0" xfId="0" applyFont="1" applyFill="1" applyAlignment="1"/>
    <xf numFmtId="0" fontId="5" fillId="4" borderId="0" xfId="0" applyFont="1" applyFill="1"/>
    <xf numFmtId="0" fontId="1" fillId="4" borderId="0" xfId="0" applyFont="1" applyFill="1"/>
    <xf numFmtId="164" fontId="7" fillId="5" borderId="0" xfId="0" applyNumberFormat="1" applyFont="1" applyFill="1" applyAlignment="1"/>
    <xf numFmtId="164" fontId="1" fillId="0" borderId="0" xfId="0" applyNumberFormat="1" applyFont="1" applyAlignment="1"/>
    <xf numFmtId="2" fontId="8" fillId="0" borderId="0" xfId="0" applyNumberFormat="1" applyFont="1" applyAlignment="1">
      <alignment horizontal="center"/>
    </xf>
    <xf numFmtId="15" fontId="8" fillId="0" borderId="0" xfId="0" applyNumberFormat="1" applyFont="1" applyAlignment="1"/>
    <xf numFmtId="0" fontId="5" fillId="6" borderId="0" xfId="0" applyFont="1" applyFill="1" applyAlignment="1"/>
    <xf numFmtId="0" fontId="1" fillId="6" borderId="0" xfId="0" applyFont="1" applyFill="1"/>
    <xf numFmtId="0" fontId="1" fillId="6" borderId="0" xfId="0" applyFont="1" applyFill="1" applyAlignment="1"/>
    <xf numFmtId="0" fontId="1" fillId="0" borderId="0" xfId="0" applyFont="1" applyAlignment="1">
      <alignment wrapText="1"/>
    </xf>
    <xf numFmtId="0" fontId="1" fillId="7" borderId="0" xfId="0" applyFont="1" applyFill="1" applyAlignment="1"/>
    <xf numFmtId="0" fontId="1" fillId="7" borderId="0" xfId="0" applyFont="1" applyFill="1"/>
    <xf numFmtId="0" fontId="8" fillId="0" borderId="0" xfId="0" applyFont="1" applyAlignment="1"/>
    <xf numFmtId="0" fontId="5" fillId="0" borderId="0" xfId="0" applyFont="1" applyAlignment="1"/>
    <xf numFmtId="0" fontId="8" fillId="8" borderId="0" xfId="0" applyFont="1" applyFill="1" applyAlignment="1"/>
    <xf numFmtId="0" fontId="1" fillId="8" borderId="0" xfId="0" applyFont="1" applyFill="1"/>
    <xf numFmtId="0" fontId="8" fillId="9" borderId="0" xfId="0" applyFont="1" applyFill="1" applyAlignment="1"/>
    <xf numFmtId="0" fontId="8" fillId="9" borderId="0" xfId="0" applyFont="1" applyFill="1"/>
    <xf numFmtId="0" fontId="9" fillId="0" borderId="0" xfId="0" applyFont="1" applyAlignment="1"/>
    <xf numFmtId="0" fontId="10" fillId="0" borderId="0" xfId="0" applyFont="1" applyAlignment="1"/>
    <xf numFmtId="0" fontId="11" fillId="0" borderId="0" xfId="0" applyFont="1" applyAlignment="1"/>
    <xf numFmtId="0" fontId="1" fillId="0" borderId="0" xfId="0" applyFont="1" applyAlignment="1">
      <alignment horizontal="center"/>
    </xf>
    <xf numFmtId="0" fontId="12" fillId="5" borderId="0" xfId="0" applyFont="1" applyFill="1" applyAlignment="1"/>
    <xf numFmtId="0" fontId="13" fillId="5" borderId="0" xfId="0" applyFont="1" applyFill="1" applyAlignment="1"/>
    <xf numFmtId="0" fontId="14" fillId="0" borderId="0" xfId="0" applyFont="1" applyAlignment="1"/>
    <xf numFmtId="9" fontId="1" fillId="0" borderId="0" xfId="0" applyNumberFormat="1" applyFont="1" applyAlignment="1">
      <alignment horizontal="center"/>
    </xf>
    <xf numFmtId="0" fontId="15" fillId="5" borderId="0" xfId="0" applyFont="1" applyFill="1" applyAlignment="1"/>
    <xf numFmtId="0" fontId="16" fillId="5" borderId="0" xfId="0" applyFont="1" applyFill="1" applyAlignment="1">
      <alignment horizontal="left"/>
    </xf>
    <xf numFmtId="0" fontId="1" fillId="0" borderId="0" xfId="0" applyFont="1" applyAlignment="1">
      <alignment horizontal="center"/>
    </xf>
    <xf numFmtId="0" fontId="8" fillId="0" borderId="0" xfId="0" applyFont="1" applyAlignment="1">
      <alignment horizontal="center"/>
    </xf>
    <xf numFmtId="165" fontId="8" fillId="0" borderId="0" xfId="0" applyNumberFormat="1" applyFont="1" applyAlignment="1">
      <alignment horizontal="center"/>
    </xf>
    <xf numFmtId="0" fontId="17" fillId="5" borderId="0" xfId="0" applyFont="1" applyFill="1" applyAlignment="1">
      <alignment horizontal="left"/>
    </xf>
    <xf numFmtId="165" fontId="18" fillId="0" borderId="0" xfId="0" applyNumberFormat="1" applyFont="1" applyAlignment="1">
      <alignment horizontal="center"/>
    </xf>
    <xf numFmtId="165" fontId="1" fillId="0" borderId="0" xfId="0" applyNumberFormat="1" applyFont="1" applyAlignment="1">
      <alignment horizontal="center"/>
    </xf>
    <xf numFmtId="0" fontId="19" fillId="5" borderId="0" xfId="0" applyFont="1" applyFill="1" applyAlignment="1"/>
    <xf numFmtId="0" fontId="8" fillId="8" borderId="0" xfId="0" applyFont="1" applyFill="1" applyAlignment="1">
      <alignment horizontal="center"/>
    </xf>
    <xf numFmtId="0" fontId="1" fillId="9" borderId="0" xfId="0" applyFont="1" applyFill="1" applyAlignment="1">
      <alignment horizontal="center"/>
    </xf>
    <xf numFmtId="0" fontId="1" fillId="0" borderId="0" xfId="0" applyFont="1" applyAlignment="1">
      <alignment horizontal="left"/>
    </xf>
    <xf numFmtId="9" fontId="1" fillId="8" borderId="0" xfId="0" applyNumberFormat="1" applyFont="1" applyFill="1" applyAlignment="1"/>
    <xf numFmtId="0" fontId="1" fillId="8" borderId="0" xfId="0" applyFont="1" applyFill="1" applyAlignment="1"/>
    <xf numFmtId="166" fontId="1" fillId="9" borderId="0" xfId="0" applyNumberFormat="1" applyFont="1" applyFill="1"/>
    <xf numFmtId="10" fontId="1" fillId="9" borderId="0" xfId="0" applyNumberFormat="1" applyFont="1" applyFill="1"/>
    <xf numFmtId="164" fontId="1" fillId="0" borderId="0" xfId="0" applyNumberFormat="1" applyFont="1" applyAlignment="1">
      <alignment horizontal="center"/>
    </xf>
    <xf numFmtId="167" fontId="1" fillId="0" borderId="0" xfId="0" applyNumberFormat="1" applyFont="1" applyAlignment="1"/>
    <xf numFmtId="0" fontId="1" fillId="2" borderId="0" xfId="0" applyFont="1" applyFill="1" applyAlignment="1">
      <alignment wrapText="1"/>
    </xf>
    <xf numFmtId="0" fontId="3" fillId="3" borderId="0" xfId="0" applyFont="1" applyFill="1" applyAlignment="1">
      <alignment wrapText="1"/>
    </xf>
    <xf numFmtId="0" fontId="1" fillId="0" borderId="0" xfId="0" applyFont="1" applyAlignment="1">
      <alignment wrapText="1"/>
    </xf>
    <xf numFmtId="0" fontId="20" fillId="0" borderId="0" xfId="0" applyFont="1" applyAlignment="1">
      <alignment wrapText="1"/>
    </xf>
    <xf numFmtId="0" fontId="12" fillId="5" borderId="0" xfId="0" applyFont="1" applyFill="1" applyAlignment="1">
      <alignment wrapText="1"/>
    </xf>
    <xf numFmtId="0" fontId="5" fillId="0" borderId="0" xfId="0" applyFont="1" applyAlignment="1">
      <alignment wrapText="1"/>
    </xf>
    <xf numFmtId="0" fontId="1" fillId="0" borderId="0" xfId="0" applyFont="1" applyAlignment="1">
      <alignment wrapText="1"/>
    </xf>
    <xf numFmtId="0" fontId="21" fillId="5" borderId="0" xfId="0" applyFont="1" applyFill="1" applyAlignment="1">
      <alignment wrapText="1"/>
    </xf>
    <xf numFmtId="0" fontId="8" fillId="0" borderId="0" xfId="0" applyFont="1" applyAlignment="1">
      <alignment wrapText="1"/>
    </xf>
    <xf numFmtId="0" fontId="22" fillId="5" borderId="0" xfId="0" applyFont="1" applyFill="1" applyAlignment="1">
      <alignment horizontal="left" wrapText="1"/>
    </xf>
    <xf numFmtId="0" fontId="1" fillId="0" borderId="0" xfId="0" quotePrefix="1" applyFont="1" applyAlignment="1"/>
    <xf numFmtId="164" fontId="1" fillId="0" borderId="0" xfId="0" applyNumberFormat="1" applyFont="1"/>
    <xf numFmtId="1" fontId="1" fillId="0" borderId="0" xfId="0" applyNumberFormat="1" applyFont="1"/>
    <xf numFmtId="2" fontId="1" fillId="0" borderId="0" xfId="0" applyNumberFormat="1" applyFont="1"/>
    <xf numFmtId="0" fontId="1" fillId="0" borderId="0" xfId="0" applyFont="1"/>
    <xf numFmtId="0" fontId="1" fillId="9" borderId="0" xfId="0" applyFont="1" applyFill="1" applyAlignment="1"/>
    <xf numFmtId="9" fontId="1" fillId="9" borderId="0" xfId="0" applyNumberFormat="1" applyFont="1" applyFill="1"/>
    <xf numFmtId="2" fontId="1" fillId="9" borderId="0" xfId="0" applyNumberFormat="1" applyFont="1" applyFill="1"/>
    <xf numFmtId="168" fontId="1" fillId="0" borderId="0" xfId="0" applyNumberFormat="1" applyFont="1"/>
    <xf numFmtId="10" fontId="1" fillId="8" borderId="0" xfId="0" applyNumberFormat="1" applyFont="1" applyFill="1" applyAlignment="1"/>
    <xf numFmtId="10" fontId="8" fillId="8" borderId="0" xfId="0" applyNumberFormat="1" applyFont="1" applyFill="1" applyAlignment="1"/>
    <xf numFmtId="1" fontId="1" fillId="9" borderId="0" xfId="0" applyNumberFormat="1" applyFont="1" applyFill="1"/>
    <xf numFmtId="164" fontId="1" fillId="9" borderId="0" xfId="0" applyNumberFormat="1" applyFont="1" applyFill="1"/>
    <xf numFmtId="1" fontId="1" fillId="0" borderId="0" xfId="0" applyNumberFormat="1" applyFont="1" applyAlignment="1"/>
    <xf numFmtId="4" fontId="1" fillId="0" borderId="0" xfId="0" applyNumberFormat="1" applyFont="1" applyAlignment="1"/>
    <xf numFmtId="3" fontId="1" fillId="0" borderId="0" xfId="0" applyNumberFormat="1" applyFont="1" applyAlignment="1"/>
    <xf numFmtId="169" fontId="1" fillId="0" borderId="0" xfId="0" applyNumberFormat="1" applyFont="1"/>
    <xf numFmtId="170" fontId="1" fillId="9" borderId="0" xfId="0" applyNumberFormat="1" applyFont="1" applyFill="1"/>
    <xf numFmtId="171" fontId="1" fillId="9" borderId="0" xfId="0" applyNumberFormat="1" applyFont="1" applyFill="1"/>
    <xf numFmtId="3" fontId="1" fillId="9" borderId="0" xfId="0" applyNumberFormat="1" applyFont="1" applyFill="1" applyAlignment="1"/>
    <xf numFmtId="3" fontId="1" fillId="9" borderId="0" xfId="0" applyNumberFormat="1" applyFont="1" applyFill="1"/>
    <xf numFmtId="10" fontId="1" fillId="0" borderId="0" xfId="0" applyNumberFormat="1" applyFont="1"/>
    <xf numFmtId="1" fontId="1" fillId="8" borderId="0" xfId="0" applyNumberFormat="1" applyFont="1" applyFill="1" applyAlignment="1"/>
    <xf numFmtId="164" fontId="1" fillId="8" borderId="0" xfId="0" applyNumberFormat="1" applyFont="1" applyFill="1" applyAlignment="1"/>
    <xf numFmtId="2" fontId="1" fillId="0" borderId="0" xfId="0" applyNumberFormat="1" applyFont="1" applyAlignment="1"/>
    <xf numFmtId="0" fontId="16" fillId="0" borderId="0" xfId="0" applyFont="1" applyAlignment="1"/>
    <xf numFmtId="2" fontId="1" fillId="8" borderId="0" xfId="0" applyNumberFormat="1" applyFont="1" applyFill="1" applyAlignment="1"/>
    <xf numFmtId="0" fontId="1" fillId="0" borderId="0" xfId="0" applyFont="1" applyAlignment="1"/>
    <xf numFmtId="0" fontId="0" fillId="0" borderId="0" xfId="0" applyFont="1" applyAlignment="1"/>
    <xf numFmtId="15" fontId="8" fillId="0" borderId="0" xfId="0" applyNumberFormat="1" applyFont="1"/>
    <xf numFmtId="0" fontId="16" fillId="0" borderId="0" xfId="0" applyFont="1"/>
    <xf numFmtId="10" fontId="1" fillId="8" borderId="0" xfId="0" applyNumberFormat="1" applyFont="1" applyFill="1"/>
    <xf numFmtId="0" fontId="0" fillId="0" borderId="0" xfId="0"/>
    <xf numFmtId="0" fontId="5" fillId="6" borderId="0" xfId="0" applyFont="1" applyFill="1"/>
    <xf numFmtId="0" fontId="24" fillId="10" borderId="0" xfId="0" applyFont="1" applyFill="1"/>
    <xf numFmtId="0" fontId="25" fillId="10" borderId="0" xfId="0" applyFont="1" applyFill="1"/>
    <xf numFmtId="0" fontId="26" fillId="0" borderId="0" xfId="0" applyFont="1"/>
    <xf numFmtId="0" fontId="0" fillId="0" borderId="0" xfId="1" applyNumberFormat="1" applyFont="1"/>
    <xf numFmtId="0" fontId="16" fillId="0" borderId="0" xfId="1" applyNumberFormat="1" applyFont="1"/>
    <xf numFmtId="0" fontId="0" fillId="0" borderId="0" xfId="0" applyFill="1"/>
    <xf numFmtId="10" fontId="1" fillId="0" borderId="0" xfId="0" applyNumberFormat="1" applyFont="1" applyFill="1"/>
    <xf numFmtId="0" fontId="1" fillId="0" borderId="0" xfId="0" applyFont="1" applyFill="1"/>
    <xf numFmtId="0" fontId="0" fillId="0" borderId="0" xfId="0" applyFont="1"/>
    <xf numFmtId="0" fontId="5" fillId="0" borderId="0" xfId="0" applyFont="1"/>
    <xf numFmtId="0" fontId="26" fillId="0" borderId="0" xfId="0" applyFont="1" applyFill="1"/>
    <xf numFmtId="0" fontId="16" fillId="0" borderId="0" xfId="0" applyFont="1" applyFill="1"/>
    <xf numFmtId="10" fontId="0" fillId="0" borderId="0" xfId="1" applyNumberFormat="1" applyFont="1" applyFill="1"/>
    <xf numFmtId="10" fontId="0" fillId="0" borderId="0" xfId="1" applyNumberFormat="1" applyFont="1"/>
    <xf numFmtId="10" fontId="16" fillId="0" borderId="0" xfId="1" applyNumberFormat="1" applyFont="1"/>
    <xf numFmtId="0" fontId="0" fillId="0" borderId="0" xfId="1" applyNumberFormat="1" applyFont="1" applyFill="1"/>
    <xf numFmtId="10" fontId="0" fillId="0" borderId="0" xfId="1" applyNumberFormat="1" applyFont="1" applyAlignment="1"/>
    <xf numFmtId="168" fontId="0" fillId="0" borderId="0" xfId="0" applyNumberFormat="1" applyFill="1"/>
    <xf numFmtId="10" fontId="0" fillId="0" borderId="0" xfId="1" applyNumberFormat="1" applyFont="1" applyFill="1" applyAlignment="1"/>
    <xf numFmtId="171" fontId="16" fillId="0" borderId="0" xfId="0" applyNumberFormat="1" applyFont="1" applyFill="1"/>
    <xf numFmtId="0" fontId="16" fillId="12" borderId="0" xfId="0" applyFont="1" applyFill="1" applyAlignment="1"/>
    <xf numFmtId="172" fontId="0" fillId="12" borderId="0" xfId="1" applyNumberFormat="1" applyFont="1" applyFill="1" applyAlignment="1"/>
    <xf numFmtId="0" fontId="16" fillId="11" borderId="0" xfId="0" applyFont="1" applyFill="1"/>
    <xf numFmtId="0" fontId="16" fillId="11" borderId="0" xfId="0" applyFont="1" applyFill="1" applyAlignment="1"/>
    <xf numFmtId="171" fontId="0" fillId="11" borderId="0" xfId="0" applyNumberFormat="1" applyFill="1"/>
    <xf numFmtId="171" fontId="0" fillId="11" borderId="0" xfId="1" applyNumberFormat="1" applyFont="1" applyFill="1" applyAlignment="1"/>
    <xf numFmtId="171" fontId="0" fillId="11" borderId="0" xfId="0" applyNumberFormat="1" applyFont="1" applyFill="1" applyAlignment="1"/>
    <xf numFmtId="0" fontId="0" fillId="11" borderId="0" xfId="0" applyFill="1"/>
    <xf numFmtId="171" fontId="26" fillId="0" borderId="0" xfId="0" applyNumberFormat="1" applyFont="1" applyFill="1"/>
    <xf numFmtId="0" fontId="1" fillId="8" borderId="0" xfId="0" applyNumberFormat="1" applyFont="1" applyFill="1" applyAlignment="1"/>
    <xf numFmtId="0" fontId="5" fillId="8" borderId="0" xfId="0" applyFont="1" applyFill="1" applyAlignment="1"/>
    <xf numFmtId="0" fontId="0" fillId="0" borderId="0" xfId="0" applyFont="1" applyAlignment="1"/>
    <xf numFmtId="172" fontId="0" fillId="0" borderId="0" xfId="1" applyNumberFormat="1" applyFont="1" applyAlignment="1"/>
    <xf numFmtId="0" fontId="1" fillId="0" borderId="0" xfId="0" applyFont="1" applyAlignment="1"/>
    <xf numFmtId="0" fontId="0" fillId="0" borderId="0" xfId="0" applyFont="1" applyAlignment="1"/>
    <xf numFmtId="0" fontId="1" fillId="0" borderId="0" xfId="0" applyFont="1" applyAlignment="1">
      <alignment wrapText="1"/>
    </xf>
    <xf numFmtId="0" fontId="5" fillId="0" borderId="0" xfId="0" applyFont="1" applyAlignment="1">
      <alignment wrapText="1"/>
    </xf>
    <xf numFmtId="0" fontId="16" fillId="0" borderId="0" xfId="0" applyFont="1" applyAlignment="1">
      <alignment horizontal="center"/>
    </xf>
    <xf numFmtId="0" fontId="26" fillId="13" borderId="0" xfId="0" applyFont="1" applyFill="1"/>
    <xf numFmtId="168" fontId="26" fillId="13" borderId="0" xfId="0"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685800</xdr:colOff>
      <xdr:row>139</xdr:row>
      <xdr:rowOff>9525</xdr:rowOff>
    </xdr:from>
    <xdr:ext cx="7324725" cy="62388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edrxiv.org/content/10.1101/2020.06.15.20132027v1" TargetMode="External"/><Relationship Id="rId13" Type="http://schemas.openxmlformats.org/officeDocument/2006/relationships/hyperlink" Target="https://journals.plos.org/plospathogens/article?id=10.1371/journal.ppat.1003205" TargetMode="External"/><Relationship Id="rId18" Type="http://schemas.openxmlformats.org/officeDocument/2006/relationships/hyperlink" Target="https://onlinelibrary.wiley.com/doi/full/10.1111/ina.12272" TargetMode="External"/><Relationship Id="rId26" Type="http://schemas.openxmlformats.org/officeDocument/2006/relationships/hyperlink" Target="https://www.sciencedirect.com/science/article/abs/pii/S1352231002001577" TargetMode="External"/><Relationship Id="rId3" Type="http://schemas.openxmlformats.org/officeDocument/2006/relationships/hyperlink" Target="https://cires.colorado.edu/news/covid-19-airborne-transmission-tool-available" TargetMode="External"/><Relationship Id="rId21" Type="http://schemas.openxmlformats.org/officeDocument/2006/relationships/hyperlink" Target="https://www.nejm.org/doi/full/10.1056/nejmc2004973" TargetMode="External"/><Relationship Id="rId7" Type="http://schemas.openxmlformats.org/officeDocument/2006/relationships/hyperlink" Target="https://www.medrxiv.org/content/10.1101/2020.06.01.20118984v1" TargetMode="External"/><Relationship Id="rId12" Type="http://schemas.openxmlformats.org/officeDocument/2006/relationships/hyperlink" Target="https://pubmed.ncbi.nlm.nih.gov/24229526/" TargetMode="External"/><Relationship Id="rId17" Type="http://schemas.openxmlformats.org/officeDocument/2006/relationships/hyperlink" Target="https://onlinelibrary.wiley.com/doi/full/10.1111/j.1600-0668.2012.00769.x" TargetMode="External"/><Relationship Id="rId25" Type="http://schemas.openxmlformats.org/officeDocument/2006/relationships/hyperlink" Target="https://www.tandfonline.com/doi/full/10.1080/22221751.2020.1777906" TargetMode="External"/><Relationship Id="rId2" Type="http://schemas.openxmlformats.org/officeDocument/2006/relationships/hyperlink" Target="https://tinyurl.com/covid-estimator" TargetMode="External"/><Relationship Id="rId16" Type="http://schemas.openxmlformats.org/officeDocument/2006/relationships/hyperlink" Target="https://onlinelibrary.wiley.com/doi/full/10.1111/ina.12111" TargetMode="External"/><Relationship Id="rId20" Type="http://schemas.openxmlformats.org/officeDocument/2006/relationships/hyperlink" Target="https://twitter.com/ShellyMBoulder/status/1276540833223675904" TargetMode="External"/><Relationship Id="rId29" Type="http://schemas.openxmlformats.org/officeDocument/2006/relationships/drawing" Target="../drawings/drawing1.xml"/><Relationship Id="rId1" Type="http://schemas.openxmlformats.org/officeDocument/2006/relationships/hyperlink" Target="https://scholar.google.com/citations?user=FyhhQHkAAAAJ&amp;hl=en" TargetMode="External"/><Relationship Id="rId6" Type="http://schemas.openxmlformats.org/officeDocument/2006/relationships/hyperlink" Target="https://www.sciencedirect.com/science/article/pii/S0160412020312800" TargetMode="External"/><Relationship Id="rId11" Type="http://schemas.openxmlformats.org/officeDocument/2006/relationships/hyperlink" Target="https://journals.lww.com/epidem/Citation/1995/03000/132_MEASUREMENT_OF_BREATHING_RATE_AND_VOLUME_IN.162.aspx" TargetMode="External"/><Relationship Id="rId24" Type="http://schemas.openxmlformats.org/officeDocument/2006/relationships/hyperlink" Target="https://www.dhs.gov/science-and-technology/sars-airborne-calculator" TargetMode="External"/><Relationship Id="rId5" Type="http://schemas.openxmlformats.org/officeDocument/2006/relationships/hyperlink" Target="https://academic.oup.com/aje/article-abstract/107/5/421/58522" TargetMode="External"/><Relationship Id="rId15" Type="http://schemas.openxmlformats.org/officeDocument/2006/relationships/hyperlink" Target="https://link.springer.com/article/10.1007/s00420-008-0301-9" TargetMode="External"/><Relationship Id="rId23" Type="http://schemas.openxmlformats.org/officeDocument/2006/relationships/hyperlink" Target="https://academic.oup.com/jid/advance-article/doi/10.1093/infdis/jiaa334/5856149" TargetMode="External"/><Relationship Id="rId28" Type="http://schemas.openxmlformats.org/officeDocument/2006/relationships/hyperlink" Target="https://twitter.com/jljcolorado/status/1275466006312304640" TargetMode="External"/><Relationship Id="rId10" Type="http://schemas.openxmlformats.org/officeDocument/2006/relationships/hyperlink" Target="https://www.medrxiv.org/content/10.1101/2020.06.01.20118984v1" TargetMode="External"/><Relationship Id="rId19" Type="http://schemas.openxmlformats.org/officeDocument/2006/relationships/hyperlink" Target="https://www.ashrae.org/technical-resources/bookstore/standards-62-1-62-2" TargetMode="External"/><Relationship Id="rId4" Type="http://schemas.openxmlformats.org/officeDocument/2006/relationships/hyperlink" Target="https://www.medrxiv.org/content/10.1101/2020.06.15.20132027v1" TargetMode="External"/><Relationship Id="rId9" Type="http://schemas.openxmlformats.org/officeDocument/2006/relationships/hyperlink" Target="https://www.sciencedirect.com/science/article/pii/S0160412020312800" TargetMode="External"/><Relationship Id="rId14" Type="http://schemas.openxmlformats.org/officeDocument/2006/relationships/hyperlink" Target="https://www.sciencedirect.com/science/article/abs/pii/S1352231007008758" TargetMode="External"/><Relationship Id="rId22" Type="http://schemas.openxmlformats.org/officeDocument/2006/relationships/hyperlink" Target="https://www.medrxiv.org/content/10.1101/2020.04.13.20063784v1" TargetMode="External"/><Relationship Id="rId27" Type="http://schemas.openxmlformats.org/officeDocument/2006/relationships/hyperlink" Target="https://www.sciencedirect.com/science/article/abs/pii/S1296207418305922?via%3Dihub"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s://www.dhs.gov/science-and-technology/sars-airborne-calculator" TargetMode="External"/><Relationship Id="rId1" Type="http://schemas.openxmlformats.org/officeDocument/2006/relationships/hyperlink" Target="https://sciencing.com/average-daily-wind-speed-24011.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dhs.gov/science-and-technology/sars-airborne-calculator" TargetMode="External"/><Relationship Id="rId2" Type="http://schemas.openxmlformats.org/officeDocument/2006/relationships/hyperlink" Target="https://sciencing.com/average-daily-wind-speed-24011.html" TargetMode="External"/><Relationship Id="rId1" Type="http://schemas.openxmlformats.org/officeDocument/2006/relationships/hyperlink" Target="http://www.gkstill.com/Support/crowd-density/CrowdDensity-1.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en.wikipedia.org/wiki/BOK_Center" TargetMode="External"/><Relationship Id="rId1" Type="http://schemas.openxmlformats.org/officeDocument/2006/relationships/hyperlink" Target="https://en.wikipedia.org/wiki/BOK_Cente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oi.org/10.6028/NIST.TN.2095" TargetMode="External"/><Relationship Id="rId13" Type="http://schemas.openxmlformats.org/officeDocument/2006/relationships/hyperlink" Target="https://doi.org/10.1039/C9CS00766K.There" TargetMode="External"/><Relationship Id="rId3" Type="http://schemas.openxmlformats.org/officeDocument/2006/relationships/hyperlink" Target="https://academic.oup.com/aje/article-abstract/107/5/421/58522" TargetMode="External"/><Relationship Id="rId7" Type="http://schemas.openxmlformats.org/officeDocument/2006/relationships/hyperlink" Target="https://www.nist.gov/services-resources/software/fatima)" TargetMode="External"/><Relationship Id="rId12" Type="http://schemas.openxmlformats.org/officeDocument/2006/relationships/hyperlink" Target="https://www.nytimes.com/2020/06/23/us/politics/trump-arizona-church-covid.htm" TargetMode="External"/><Relationship Id="rId17" Type="http://schemas.openxmlformats.org/officeDocument/2006/relationships/hyperlink" Target="https://www.journalofhospitalinfection.com/article/S0195-6701(20)30245-0/fulltext" TargetMode="External"/><Relationship Id="rId2" Type="http://schemas.openxmlformats.org/officeDocument/2006/relationships/hyperlink" Target="https://therealandrewmaynard.com/2020/06/28/estimating-personal-risk-of-contracting-covid19-while-attending-class/" TargetMode="External"/><Relationship Id="rId16" Type="http://schemas.openxmlformats.org/officeDocument/2006/relationships/hyperlink" Target="https://www.cdc.gov/coronavirus/2019-ncov/prevent-getting-sick/how-covid-spreads.html" TargetMode="External"/><Relationship Id="rId1" Type="http://schemas.openxmlformats.org/officeDocument/2006/relationships/hyperlink" Target="https://cires.colorado.edu/news/covid-19-airborne-transmission-tool-available" TargetMode="External"/><Relationship Id="rId6" Type="http://schemas.openxmlformats.org/officeDocument/2006/relationships/hyperlink" Target="https://www.medrxiv.org/content/10.1101/2020.05.21.20108894v3" TargetMode="External"/><Relationship Id="rId11" Type="http://schemas.openxmlformats.org/officeDocument/2006/relationships/hyperlink" Target="https://www.sciencedirect.com/science/article/pii/S0160412020317876" TargetMode="External"/><Relationship Id="rId5" Type="http://schemas.openxmlformats.org/officeDocument/2006/relationships/hyperlink" Target="https://www.magentacloud.de/share/e7esxr9ywc" TargetMode="External"/><Relationship Id="rId15" Type="http://schemas.openxmlformats.org/officeDocument/2006/relationships/hyperlink" Target="https://academic.oup.com/aje/article-abstract/20/3/611/280025" TargetMode="External"/><Relationship Id="rId10" Type="http://schemas.openxmlformats.org/officeDocument/2006/relationships/hyperlink" Target="https://shellym80304.files.wordpress.com/2020/05/isiaq-guv-2-compiled.pdf" TargetMode="External"/><Relationship Id="rId4" Type="http://schemas.openxmlformats.org/officeDocument/2006/relationships/hyperlink" Target="https://onlinelibrary.wiley.com/doi/abs/10.1034/j.1600-0668.2000.010004212.x" TargetMode="External"/><Relationship Id="rId9" Type="http://schemas.openxmlformats.org/officeDocument/2006/relationships/hyperlink" Target="https://www.sciencedirect.com/science/article/pii/S0160412020317876" TargetMode="External"/><Relationship Id="rId14" Type="http://schemas.openxmlformats.org/officeDocument/2006/relationships/hyperlink" Target="https://twitter.com/linseymar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207"/>
  <sheetViews>
    <sheetView zoomScale="150" workbookViewId="0">
      <selection activeCell="E10" sqref="E10"/>
    </sheetView>
  </sheetViews>
  <sheetFormatPr baseColWidth="10" defaultColWidth="14.5" defaultRowHeight="15.75" customHeight="1"/>
  <cols>
    <col min="10" max="10" width="19.83203125" customWidth="1"/>
  </cols>
  <sheetData>
    <row r="1" spans="1:10" ht="8.25" customHeight="1">
      <c r="A1" s="1"/>
      <c r="B1" s="1"/>
      <c r="C1" s="1"/>
      <c r="D1" s="1"/>
      <c r="E1" s="1"/>
      <c r="F1" s="1"/>
      <c r="G1" s="1"/>
      <c r="H1" s="1"/>
      <c r="I1" s="1"/>
      <c r="J1" s="1"/>
    </row>
    <row r="2" spans="1:10" ht="22.5" customHeight="1">
      <c r="A2" s="2" t="s">
        <v>0</v>
      </c>
      <c r="B2" s="3"/>
      <c r="C2" s="3"/>
      <c r="D2" s="3"/>
      <c r="E2" s="3"/>
      <c r="F2" s="3"/>
      <c r="G2" s="3"/>
      <c r="H2" s="3"/>
      <c r="I2" s="3"/>
      <c r="J2" s="3"/>
    </row>
    <row r="3" spans="1:10" ht="13">
      <c r="A3" s="4" t="s">
        <v>1</v>
      </c>
      <c r="B3" s="5" t="s">
        <v>2</v>
      </c>
      <c r="G3" s="6" t="s">
        <v>3</v>
      </c>
      <c r="H3" s="7" t="s">
        <v>4</v>
      </c>
      <c r="I3" s="8"/>
      <c r="J3" s="9"/>
    </row>
    <row r="4" spans="1:10" ht="14">
      <c r="A4" s="4" t="s">
        <v>5</v>
      </c>
      <c r="C4" s="10" t="s">
        <v>6</v>
      </c>
    </row>
    <row r="5" spans="1:10" ht="13">
      <c r="A5" s="4" t="s">
        <v>7</v>
      </c>
      <c r="C5" s="11" t="s">
        <v>8</v>
      </c>
    </row>
    <row r="6" spans="1:10" ht="13">
      <c r="A6" s="4"/>
      <c r="B6" s="11"/>
      <c r="C6" s="129" t="s">
        <v>9</v>
      </c>
      <c r="D6" s="130"/>
      <c r="E6" s="130"/>
      <c r="F6" s="130"/>
      <c r="G6" s="130"/>
      <c r="H6" s="130"/>
      <c r="I6" s="130"/>
      <c r="J6" s="130"/>
    </row>
    <row r="7" spans="1:10" ht="13">
      <c r="A7" s="4"/>
      <c r="B7" s="11"/>
      <c r="C7" s="4" t="s">
        <v>10</v>
      </c>
    </row>
    <row r="8" spans="1:10" ht="13">
      <c r="A8" s="4"/>
      <c r="B8" s="11"/>
      <c r="C8" s="4" t="s">
        <v>11</v>
      </c>
    </row>
    <row r="9" spans="1:10" ht="13">
      <c r="A9" s="4" t="s">
        <v>12</v>
      </c>
      <c r="B9" s="12" t="s">
        <v>13</v>
      </c>
      <c r="C9" s="13">
        <v>44011</v>
      </c>
      <c r="D9" s="91">
        <v>44015</v>
      </c>
      <c r="E9" s="92" t="s">
        <v>530</v>
      </c>
    </row>
    <row r="11" spans="1:10" ht="13">
      <c r="A11" s="14" t="s">
        <v>14</v>
      </c>
      <c r="B11" s="15"/>
      <c r="C11" s="15"/>
      <c r="D11" s="15"/>
      <c r="E11" s="15"/>
      <c r="F11" s="15"/>
      <c r="G11" s="16"/>
      <c r="H11" s="15"/>
      <c r="I11" s="15"/>
      <c r="J11" s="15"/>
    </row>
    <row r="12" spans="1:10" ht="13">
      <c r="A12" s="131" t="s">
        <v>15</v>
      </c>
      <c r="B12" s="130"/>
      <c r="C12" s="130"/>
      <c r="D12" s="130"/>
      <c r="E12" s="130"/>
      <c r="F12" s="130"/>
      <c r="G12" s="130"/>
      <c r="H12" s="130"/>
      <c r="I12" s="130"/>
      <c r="J12" s="130"/>
    </row>
    <row r="13" spans="1:10" ht="13">
      <c r="A13" s="18" t="s">
        <v>16</v>
      </c>
      <c r="B13" s="19"/>
      <c r="C13" s="19"/>
      <c r="D13" s="19"/>
      <c r="E13" s="19"/>
      <c r="F13" s="18"/>
    </row>
    <row r="14" spans="1:10" ht="13">
      <c r="A14" s="4"/>
      <c r="B14" s="18" t="s">
        <v>17</v>
      </c>
      <c r="C14" s="19"/>
      <c r="D14" s="19"/>
      <c r="E14" s="19"/>
      <c r="F14" s="19"/>
      <c r="G14" s="4"/>
    </row>
    <row r="15" spans="1:10" ht="13">
      <c r="A15" s="4"/>
      <c r="B15" s="4" t="s">
        <v>18</v>
      </c>
      <c r="G15" s="4"/>
    </row>
    <row r="16" spans="1:10" ht="13">
      <c r="A16" s="4"/>
      <c r="B16" s="4" t="s">
        <v>19</v>
      </c>
      <c r="G16" s="4"/>
    </row>
    <row r="17" spans="1:10" ht="13">
      <c r="A17" s="20" t="s">
        <v>20</v>
      </c>
      <c r="G17" s="4"/>
    </row>
    <row r="18" spans="1:10" ht="13">
      <c r="A18" s="21"/>
      <c r="B18" s="22" t="s">
        <v>21</v>
      </c>
      <c r="C18" s="23"/>
      <c r="D18" s="4" t="s">
        <v>22</v>
      </c>
      <c r="G18" s="4"/>
    </row>
    <row r="19" spans="1:10" ht="13">
      <c r="A19" s="21"/>
      <c r="B19" s="20" t="s">
        <v>23</v>
      </c>
      <c r="G19" s="4"/>
    </row>
    <row r="20" spans="1:10" ht="13">
      <c r="A20" s="21"/>
      <c r="B20" s="24" t="s">
        <v>24</v>
      </c>
      <c r="C20" s="25"/>
      <c r="D20" s="20" t="s">
        <v>25</v>
      </c>
      <c r="G20" s="4"/>
    </row>
    <row r="21" spans="1:10" ht="13">
      <c r="A21" s="26"/>
      <c r="G21" s="4"/>
    </row>
    <row r="22" spans="1:10" ht="13">
      <c r="A22" s="20" t="s">
        <v>26</v>
      </c>
    </row>
    <row r="23" spans="1:10" ht="13">
      <c r="A23" s="20"/>
      <c r="B23" s="20" t="s">
        <v>27</v>
      </c>
    </row>
    <row r="24" spans="1:10" ht="13">
      <c r="A24" s="20"/>
    </row>
    <row r="25" spans="1:10" ht="13">
      <c r="A25" s="14" t="s">
        <v>28</v>
      </c>
      <c r="B25" s="15"/>
      <c r="C25" s="15"/>
      <c r="D25" s="15"/>
      <c r="E25" s="15"/>
      <c r="F25" s="15"/>
      <c r="G25" s="16"/>
      <c r="H25" s="15"/>
      <c r="I25" s="15"/>
      <c r="J25" s="15"/>
    </row>
    <row r="26" spans="1:10" ht="13">
      <c r="A26" s="4" t="s">
        <v>29</v>
      </c>
      <c r="G26" s="4"/>
    </row>
    <row r="27" spans="1:10" ht="13">
      <c r="A27" s="4" t="s">
        <v>30</v>
      </c>
      <c r="G27" s="4"/>
    </row>
    <row r="28" spans="1:10" ht="13">
      <c r="A28" s="4" t="s">
        <v>31</v>
      </c>
      <c r="G28" s="4"/>
    </row>
    <row r="29" spans="1:10" ht="13">
      <c r="A29" s="4" t="s">
        <v>32</v>
      </c>
      <c r="G29" s="4"/>
    </row>
    <row r="30" spans="1:10" ht="13">
      <c r="A30" s="4" t="s">
        <v>33</v>
      </c>
      <c r="C30" s="21"/>
      <c r="D30" s="21"/>
      <c r="E30" s="21"/>
      <c r="F30" s="21"/>
      <c r="G30" s="21"/>
      <c r="H30" s="21"/>
      <c r="I30" s="21"/>
      <c r="J30" s="21"/>
    </row>
    <row r="31" spans="1:10" ht="13">
      <c r="A31" s="4" t="s">
        <v>34</v>
      </c>
      <c r="C31" s="21"/>
      <c r="D31" s="21"/>
      <c r="E31" s="21"/>
      <c r="F31" s="21"/>
      <c r="G31" s="21"/>
      <c r="H31" s="21"/>
      <c r="I31" s="21"/>
      <c r="J31" s="21"/>
    </row>
    <row r="32" spans="1:10" ht="13">
      <c r="A32" s="4"/>
      <c r="I32" s="21"/>
      <c r="J32" s="21"/>
    </row>
    <row r="33" spans="1:10" ht="13">
      <c r="A33" s="14" t="s">
        <v>35</v>
      </c>
      <c r="B33" s="15"/>
      <c r="C33" s="15"/>
      <c r="D33" s="15"/>
      <c r="E33" s="15"/>
      <c r="F33" s="15"/>
      <c r="G33" s="16"/>
      <c r="H33" s="15"/>
      <c r="I33" s="15"/>
      <c r="J33" s="15"/>
    </row>
    <row r="34" spans="1:10" ht="13">
      <c r="A34" s="4" t="s">
        <v>36</v>
      </c>
      <c r="I34" s="21"/>
      <c r="J34" s="21"/>
    </row>
    <row r="35" spans="1:10" ht="13">
      <c r="A35" s="4" t="s">
        <v>37</v>
      </c>
      <c r="I35" s="21"/>
      <c r="J35" s="21"/>
    </row>
    <row r="36" spans="1:10" ht="13">
      <c r="A36" s="4" t="s">
        <v>38</v>
      </c>
      <c r="I36" s="21"/>
      <c r="J36" s="21"/>
    </row>
    <row r="37" spans="1:10" ht="13">
      <c r="A37" s="4" t="s">
        <v>39</v>
      </c>
    </row>
    <row r="38" spans="1:10" ht="13">
      <c r="A38" s="4" t="s">
        <v>40</v>
      </c>
    </row>
    <row r="39" spans="1:10" ht="13">
      <c r="B39" s="4" t="s">
        <v>41</v>
      </c>
    </row>
    <row r="40" spans="1:10" ht="13">
      <c r="A40" s="21"/>
      <c r="B40" s="4" t="s">
        <v>42</v>
      </c>
      <c r="G40" s="4"/>
    </row>
    <row r="41" spans="1:10" ht="13">
      <c r="A41" s="21"/>
      <c r="B41" s="4" t="s">
        <v>43</v>
      </c>
      <c r="G41" s="4"/>
    </row>
    <row r="42" spans="1:10" ht="13">
      <c r="A42" s="21"/>
      <c r="B42" s="4" t="s">
        <v>44</v>
      </c>
      <c r="G42" s="4"/>
    </row>
    <row r="43" spans="1:10" ht="13">
      <c r="A43" s="21"/>
      <c r="G43" s="4"/>
    </row>
    <row r="44" spans="1:10" ht="13">
      <c r="A44" s="14" t="s">
        <v>45</v>
      </c>
      <c r="B44" s="15"/>
      <c r="C44" s="15"/>
      <c r="D44" s="15"/>
      <c r="E44" s="15"/>
      <c r="F44" s="15"/>
      <c r="G44" s="16"/>
      <c r="H44" s="15"/>
      <c r="I44" s="15"/>
      <c r="J44" s="15"/>
    </row>
    <row r="45" spans="1:10" ht="13">
      <c r="A45" s="4" t="s">
        <v>46</v>
      </c>
      <c r="B45" s="4"/>
      <c r="C45" s="4"/>
      <c r="D45" s="4"/>
      <c r="E45" s="4"/>
      <c r="F45" s="4" t="s">
        <v>47</v>
      </c>
      <c r="G45" s="4"/>
      <c r="H45" s="4"/>
      <c r="I45" s="4"/>
      <c r="J45" s="4"/>
    </row>
    <row r="46" spans="1:10" ht="13">
      <c r="A46" s="4"/>
      <c r="B46" s="4"/>
      <c r="C46" s="4"/>
      <c r="D46" s="4"/>
      <c r="E46" s="4"/>
      <c r="F46" s="4"/>
      <c r="G46" s="4"/>
      <c r="H46" s="4"/>
      <c r="I46" s="4"/>
      <c r="J46" s="4"/>
    </row>
    <row r="47" spans="1:10" ht="13">
      <c r="A47" s="14" t="s">
        <v>48</v>
      </c>
      <c r="B47" s="15"/>
      <c r="C47" s="15"/>
      <c r="D47" s="15"/>
      <c r="E47" s="15"/>
      <c r="F47" s="15"/>
      <c r="G47" s="16"/>
      <c r="H47" s="15"/>
      <c r="I47" s="15"/>
      <c r="J47" s="15"/>
    </row>
    <row r="48" spans="1:10" ht="13">
      <c r="A48" s="4" t="s">
        <v>49</v>
      </c>
    </row>
    <row r="49" spans="1:10" ht="13">
      <c r="A49" s="4"/>
      <c r="B49" s="4" t="s">
        <v>50</v>
      </c>
      <c r="D49" s="27" t="s">
        <v>51</v>
      </c>
    </row>
    <row r="50" spans="1:10" ht="13">
      <c r="A50" s="4"/>
      <c r="B50" s="4" t="s">
        <v>52</v>
      </c>
      <c r="D50" s="27" t="s">
        <v>53</v>
      </c>
    </row>
    <row r="51" spans="1:10" ht="13">
      <c r="A51" s="4"/>
      <c r="B51" s="4" t="s">
        <v>54</v>
      </c>
      <c r="D51" s="27" t="s">
        <v>55</v>
      </c>
    </row>
    <row r="52" spans="1:10" ht="13">
      <c r="A52" s="4"/>
      <c r="B52" s="4" t="s">
        <v>56</v>
      </c>
      <c r="D52" s="27" t="s">
        <v>57</v>
      </c>
    </row>
    <row r="54" spans="1:10" ht="13">
      <c r="A54" s="20" t="s">
        <v>58</v>
      </c>
    </row>
    <row r="55" spans="1:10" ht="13">
      <c r="A55" s="4"/>
    </row>
    <row r="56" spans="1:10" ht="13">
      <c r="A56" s="4" t="s">
        <v>59</v>
      </c>
    </row>
    <row r="57" spans="1:10" ht="13">
      <c r="B57" s="4" t="s">
        <v>60</v>
      </c>
    </row>
    <row r="58" spans="1:10" ht="13">
      <c r="B58" s="4" t="s">
        <v>61</v>
      </c>
    </row>
    <row r="59" spans="1:10" ht="13">
      <c r="C59" s="4" t="s">
        <v>62</v>
      </c>
    </row>
    <row r="60" spans="1:10" ht="13">
      <c r="C60" s="4" t="s">
        <v>63</v>
      </c>
    </row>
    <row r="61" spans="1:10" ht="13">
      <c r="B61" s="4" t="s">
        <v>64</v>
      </c>
    </row>
    <row r="63" spans="1:10" ht="13">
      <c r="A63" s="14" t="s">
        <v>65</v>
      </c>
      <c r="B63" s="15"/>
      <c r="C63" s="15"/>
      <c r="D63" s="15"/>
      <c r="E63" s="15"/>
      <c r="F63" s="15"/>
      <c r="G63" s="16"/>
      <c r="H63" s="15"/>
      <c r="I63" s="15"/>
      <c r="J63" s="15"/>
    </row>
    <row r="64" spans="1:10" ht="13">
      <c r="A64" s="21" t="s">
        <v>66</v>
      </c>
    </row>
    <row r="65" spans="2:9" ht="13">
      <c r="B65" s="4" t="s">
        <v>67</v>
      </c>
      <c r="C65" s="4"/>
      <c r="F65" s="28"/>
      <c r="G65" s="28"/>
    </row>
    <row r="66" spans="2:9" ht="13">
      <c r="B66" s="29" t="s">
        <v>68</v>
      </c>
      <c r="C66" s="4" t="s">
        <v>69</v>
      </c>
      <c r="F66" s="28"/>
      <c r="G66" s="5" t="s">
        <v>51</v>
      </c>
    </row>
    <row r="67" spans="2:9" ht="13">
      <c r="B67" s="4"/>
      <c r="D67" s="4" t="s">
        <v>70</v>
      </c>
      <c r="H67" s="28"/>
      <c r="I67" s="28"/>
    </row>
    <row r="68" spans="2:9" ht="13">
      <c r="B68" s="4"/>
      <c r="D68" s="4" t="s">
        <v>71</v>
      </c>
      <c r="H68" s="28"/>
      <c r="I68" s="28"/>
    </row>
    <row r="69" spans="2:9" ht="13">
      <c r="B69" s="4"/>
      <c r="D69" s="4" t="s">
        <v>72</v>
      </c>
      <c r="H69" s="28"/>
      <c r="I69" s="28"/>
    </row>
    <row r="70" spans="2:9" ht="13">
      <c r="B70" s="4" t="s">
        <v>73</v>
      </c>
      <c r="H70" s="5" t="s">
        <v>74</v>
      </c>
      <c r="I70" s="5" t="s">
        <v>75</v>
      </c>
    </row>
    <row r="71" spans="2:9" ht="13">
      <c r="C71" s="4" t="s">
        <v>76</v>
      </c>
    </row>
    <row r="72" spans="2:9" ht="13">
      <c r="C72" s="4" t="s">
        <v>77</v>
      </c>
    </row>
    <row r="73" spans="2:9" ht="13">
      <c r="B73" s="4"/>
      <c r="C73" s="30" t="s">
        <v>78</v>
      </c>
    </row>
    <row r="74" spans="2:9" ht="13">
      <c r="B74" s="4"/>
      <c r="D74" s="30" t="s">
        <v>79</v>
      </c>
    </row>
    <row r="75" spans="2:9" ht="13">
      <c r="B75" s="4"/>
      <c r="D75" s="30" t="s">
        <v>80</v>
      </c>
    </row>
    <row r="76" spans="2:9" ht="13">
      <c r="B76" s="4"/>
      <c r="D76" s="30" t="s">
        <v>81</v>
      </c>
    </row>
    <row r="77" spans="2:9" ht="13">
      <c r="B77" s="4"/>
      <c r="D77" s="30" t="s">
        <v>82</v>
      </c>
    </row>
    <row r="78" spans="2:9" ht="13">
      <c r="B78" s="4"/>
      <c r="D78" s="30" t="s">
        <v>83</v>
      </c>
    </row>
    <row r="79" spans="2:9" ht="13">
      <c r="B79" s="4"/>
      <c r="D79" s="30" t="s">
        <v>84</v>
      </c>
    </row>
    <row r="80" spans="2:9" ht="13">
      <c r="B80" s="4"/>
      <c r="D80" s="30" t="s">
        <v>85</v>
      </c>
    </row>
    <row r="81" spans="1:4" ht="13">
      <c r="B81" s="4"/>
      <c r="D81" s="30" t="s">
        <v>86</v>
      </c>
    </row>
    <row r="82" spans="1:4" ht="13">
      <c r="B82" s="4"/>
      <c r="D82" s="30" t="s">
        <v>87</v>
      </c>
    </row>
    <row r="83" spans="1:4" ht="13">
      <c r="B83" s="4"/>
      <c r="D83" s="30" t="s">
        <v>88</v>
      </c>
    </row>
    <row r="84" spans="1:4" ht="13">
      <c r="B84" s="4"/>
      <c r="D84" s="30" t="s">
        <v>89</v>
      </c>
    </row>
    <row r="85" spans="1:4" ht="13">
      <c r="B85" s="4"/>
      <c r="D85" s="30" t="s">
        <v>90</v>
      </c>
    </row>
    <row r="86" spans="1:4" ht="13">
      <c r="B86" s="4" t="s">
        <v>91</v>
      </c>
    </row>
    <row r="87" spans="1:4" ht="13">
      <c r="C87" s="4" t="s">
        <v>92</v>
      </c>
    </row>
    <row r="88" spans="1:4" ht="13">
      <c r="C88" s="4" t="s">
        <v>93</v>
      </c>
    </row>
    <row r="89" spans="1:4" ht="13">
      <c r="C89" s="31" t="s">
        <v>94</v>
      </c>
    </row>
    <row r="90" spans="1:4" ht="13">
      <c r="A90" s="21"/>
    </row>
    <row r="91" spans="1:4" ht="13">
      <c r="A91" s="21" t="s">
        <v>95</v>
      </c>
    </row>
    <row r="92" spans="1:4" ht="13">
      <c r="A92" s="21"/>
      <c r="B92" s="4" t="s">
        <v>96</v>
      </c>
    </row>
    <row r="93" spans="1:4" ht="13">
      <c r="A93" s="21"/>
      <c r="B93" s="32" t="s">
        <v>97</v>
      </c>
    </row>
    <row r="94" spans="1:4" ht="13">
      <c r="A94" s="21"/>
      <c r="B94" s="29">
        <v>0.49</v>
      </c>
      <c r="C94" s="4" t="s">
        <v>98</v>
      </c>
    </row>
    <row r="95" spans="1:4" ht="13">
      <c r="A95" s="21"/>
      <c r="B95" s="29">
        <v>0.54</v>
      </c>
      <c r="C95" s="4" t="s">
        <v>99</v>
      </c>
    </row>
    <row r="96" spans="1:4" ht="13">
      <c r="A96" s="21"/>
      <c r="B96" s="29">
        <v>1.38</v>
      </c>
      <c r="C96" s="4" t="s">
        <v>100</v>
      </c>
    </row>
    <row r="97" spans="1:6" ht="13">
      <c r="A97" s="21"/>
      <c r="B97" s="29">
        <v>2.35</v>
      </c>
      <c r="C97" s="4" t="s">
        <v>101</v>
      </c>
    </row>
    <row r="98" spans="1:6" ht="13">
      <c r="A98" s="21"/>
      <c r="B98" s="29">
        <v>3.3</v>
      </c>
      <c r="C98" s="4" t="s">
        <v>102</v>
      </c>
    </row>
    <row r="99" spans="1:6" ht="13">
      <c r="A99" s="21"/>
    </row>
    <row r="100" spans="1:6" ht="13">
      <c r="A100" s="21" t="s">
        <v>103</v>
      </c>
    </row>
    <row r="101" spans="1:6" ht="13">
      <c r="B101" s="33">
        <v>0.5</v>
      </c>
      <c r="C101" s="4" t="s">
        <v>104</v>
      </c>
    </row>
    <row r="102" spans="1:6" ht="13">
      <c r="B102" s="33"/>
      <c r="C102" s="4" t="s">
        <v>105</v>
      </c>
      <c r="E102" s="34" t="s">
        <v>106</v>
      </c>
    </row>
    <row r="103" spans="1:6" ht="13">
      <c r="B103" s="33"/>
      <c r="C103" s="35" t="s">
        <v>107</v>
      </c>
    </row>
    <row r="104" spans="1:6" ht="13">
      <c r="B104" s="33">
        <v>0.9</v>
      </c>
      <c r="C104" s="4" t="s">
        <v>108</v>
      </c>
    </row>
    <row r="105" spans="1:6" ht="13">
      <c r="B105" s="36"/>
      <c r="C105" s="31" t="s">
        <v>109</v>
      </c>
    </row>
    <row r="106" spans="1:6" ht="13">
      <c r="B106" s="33">
        <v>0.65</v>
      </c>
      <c r="C106" s="4" t="s">
        <v>110</v>
      </c>
      <c r="F106" s="27" t="s">
        <v>111</v>
      </c>
    </row>
    <row r="107" spans="1:6" ht="13">
      <c r="B107" s="4"/>
      <c r="C107" s="4" t="s">
        <v>112</v>
      </c>
    </row>
    <row r="108" spans="1:6" ht="13">
      <c r="B108" s="4"/>
      <c r="C108" s="4"/>
    </row>
    <row r="109" spans="1:6" ht="13">
      <c r="A109" s="21" t="s">
        <v>113</v>
      </c>
      <c r="B109" s="4"/>
      <c r="C109" s="4"/>
    </row>
    <row r="110" spans="1:6" ht="13">
      <c r="B110" s="4" t="s">
        <v>114</v>
      </c>
      <c r="C110" s="4"/>
    </row>
    <row r="111" spans="1:6" ht="13">
      <c r="B111" s="33">
        <v>0.3</v>
      </c>
      <c r="C111" s="31" t="s">
        <v>115</v>
      </c>
    </row>
    <row r="112" spans="1:6" ht="13">
      <c r="B112" s="33">
        <v>0.9</v>
      </c>
      <c r="C112" s="4" t="s">
        <v>108</v>
      </c>
    </row>
    <row r="113" spans="1:5" ht="13">
      <c r="A113" s="21"/>
      <c r="C113" s="31" t="s">
        <v>109</v>
      </c>
    </row>
    <row r="114" spans="1:5" ht="13">
      <c r="A114" s="21"/>
      <c r="C114" s="4"/>
    </row>
    <row r="115" spans="1:5" ht="13">
      <c r="A115" s="21" t="s">
        <v>116</v>
      </c>
      <c r="C115" s="4"/>
    </row>
    <row r="116" spans="1:5" ht="13">
      <c r="B116" s="4" t="s">
        <v>117</v>
      </c>
      <c r="D116" s="4"/>
      <c r="E116" s="4"/>
    </row>
    <row r="117" spans="1:5" ht="13">
      <c r="B117" s="37" t="s">
        <v>118</v>
      </c>
      <c r="C117" s="20" t="s">
        <v>119</v>
      </c>
      <c r="D117" s="20" t="s">
        <v>120</v>
      </c>
      <c r="E117" s="4"/>
    </row>
    <row r="118" spans="1:5" ht="13">
      <c r="B118" s="38">
        <v>43905</v>
      </c>
      <c r="C118" s="20" t="s">
        <v>121</v>
      </c>
      <c r="D118" s="20" t="s">
        <v>122</v>
      </c>
      <c r="E118" s="4"/>
    </row>
    <row r="119" spans="1:5" ht="13">
      <c r="B119" s="29" t="s">
        <v>123</v>
      </c>
      <c r="C119" s="4" t="s">
        <v>124</v>
      </c>
      <c r="D119" s="39" t="s">
        <v>125</v>
      </c>
      <c r="E119" s="4"/>
    </row>
    <row r="120" spans="1:5" ht="13">
      <c r="B120" s="29">
        <v>2.5</v>
      </c>
      <c r="C120" s="4" t="s">
        <v>126</v>
      </c>
      <c r="D120" s="27" t="s">
        <v>127</v>
      </c>
      <c r="E120" s="4"/>
    </row>
    <row r="121" spans="1:5" ht="13">
      <c r="B121" s="29" t="s">
        <v>128</v>
      </c>
      <c r="C121" s="4" t="s">
        <v>126</v>
      </c>
      <c r="D121" s="27" t="s">
        <v>129</v>
      </c>
      <c r="E121" s="4"/>
    </row>
    <row r="122" spans="1:5" ht="13">
      <c r="B122" s="40">
        <v>43957</v>
      </c>
      <c r="C122" s="4" t="s">
        <v>126</v>
      </c>
      <c r="D122" s="27" t="s">
        <v>130</v>
      </c>
      <c r="E122" s="4"/>
    </row>
    <row r="123" spans="1:5" ht="13">
      <c r="B123" s="41">
        <v>43872</v>
      </c>
      <c r="C123" s="4" t="s">
        <v>126</v>
      </c>
      <c r="D123" s="27" t="s">
        <v>131</v>
      </c>
      <c r="E123" s="4"/>
    </row>
    <row r="124" spans="1:5" ht="13">
      <c r="B124" s="29" t="s">
        <v>132</v>
      </c>
      <c r="C124" s="20" t="s">
        <v>133</v>
      </c>
      <c r="D124" s="27" t="s">
        <v>134</v>
      </c>
      <c r="E124" s="28"/>
    </row>
    <row r="125" spans="1:5" ht="13">
      <c r="A125" s="21"/>
      <c r="B125" s="4"/>
      <c r="C125" s="4"/>
      <c r="D125" s="20" t="s">
        <v>135</v>
      </c>
      <c r="E125" s="28"/>
    </row>
    <row r="126" spans="1:5" ht="13">
      <c r="A126" s="21"/>
      <c r="B126" s="4"/>
      <c r="C126" s="4"/>
      <c r="D126" s="42" t="s">
        <v>136</v>
      </c>
      <c r="E126" s="28"/>
    </row>
    <row r="127" spans="1:5" ht="13">
      <c r="A127" s="21"/>
      <c r="B127" s="4"/>
      <c r="C127" s="4"/>
      <c r="D127" s="20" t="s">
        <v>137</v>
      </c>
      <c r="E127" s="28"/>
    </row>
    <row r="128" spans="1:5" ht="13">
      <c r="A128" s="21"/>
      <c r="B128" s="4"/>
      <c r="C128" s="4"/>
      <c r="D128" s="4" t="s">
        <v>138</v>
      </c>
      <c r="E128" s="28"/>
    </row>
    <row r="129" spans="1:7" ht="13">
      <c r="A129" s="21"/>
      <c r="B129" s="4"/>
      <c r="C129" s="4"/>
      <c r="D129" s="4" t="s">
        <v>139</v>
      </c>
      <c r="E129" s="28"/>
    </row>
    <row r="130" spans="1:7" ht="13">
      <c r="A130" s="21"/>
      <c r="B130" s="4"/>
      <c r="C130" s="4"/>
      <c r="D130" s="4" t="s">
        <v>140</v>
      </c>
      <c r="E130" s="43">
        <v>10</v>
      </c>
      <c r="F130" s="4" t="s">
        <v>141</v>
      </c>
      <c r="G130" s="4" t="s">
        <v>142</v>
      </c>
    </row>
    <row r="131" spans="1:7" ht="13">
      <c r="A131" s="21"/>
      <c r="B131" s="4"/>
      <c r="C131" s="4"/>
      <c r="D131" s="4" t="s">
        <v>143</v>
      </c>
      <c r="E131" s="43">
        <v>0.6</v>
      </c>
      <c r="F131" s="4" t="s">
        <v>144</v>
      </c>
      <c r="G131" s="4" t="s">
        <v>142</v>
      </c>
    </row>
    <row r="132" spans="1:7" ht="13">
      <c r="A132" s="21"/>
      <c r="B132" s="4"/>
      <c r="C132" s="4"/>
      <c r="D132" s="4" t="s">
        <v>145</v>
      </c>
      <c r="E132" s="43">
        <f>E136/E133</f>
        <v>0.33452807646356031</v>
      </c>
      <c r="F132" s="4" t="s">
        <v>146</v>
      </c>
      <c r="G132" s="4" t="s">
        <v>142</v>
      </c>
    </row>
    <row r="133" spans="1:7" ht="13">
      <c r="A133" s="21"/>
      <c r="B133" s="4"/>
      <c r="C133" s="4"/>
      <c r="D133" s="4" t="s">
        <v>147</v>
      </c>
      <c r="E133" s="43">
        <v>83.7</v>
      </c>
      <c r="F133" s="4" t="s">
        <v>148</v>
      </c>
      <c r="G133" s="4" t="s">
        <v>149</v>
      </c>
    </row>
    <row r="134" spans="1:7" ht="13">
      <c r="A134" s="21"/>
      <c r="B134" s="4"/>
      <c r="C134" s="4"/>
      <c r="D134" s="4" t="s">
        <v>150</v>
      </c>
      <c r="E134" s="43">
        <f>10/3.28</f>
        <v>3.0487804878048781</v>
      </c>
      <c r="F134" s="20" t="s">
        <v>151</v>
      </c>
      <c r="G134" s="4" t="s">
        <v>149</v>
      </c>
    </row>
    <row r="135" spans="1:7" ht="13">
      <c r="A135" s="21"/>
      <c r="B135" s="4"/>
      <c r="C135" s="4"/>
      <c r="D135" s="4" t="s">
        <v>152</v>
      </c>
      <c r="E135" s="29">
        <f>E134*E133</f>
        <v>255.1829268292683</v>
      </c>
      <c r="F135" s="4" t="s">
        <v>153</v>
      </c>
      <c r="G135" s="4" t="s">
        <v>154</v>
      </c>
    </row>
    <row r="136" spans="1:7" ht="13">
      <c r="A136" s="21"/>
      <c r="B136" s="4"/>
      <c r="C136" s="4"/>
      <c r="D136" s="4" t="s">
        <v>155</v>
      </c>
      <c r="E136" s="29">
        <v>28</v>
      </c>
      <c r="F136" s="4" t="s">
        <v>156</v>
      </c>
    </row>
    <row r="137" spans="1:7" ht="13">
      <c r="A137" s="21"/>
      <c r="B137" s="4"/>
      <c r="C137" s="4"/>
      <c r="D137" s="4" t="s">
        <v>157</v>
      </c>
      <c r="E137" s="29">
        <f>E136*E130+E133*E131</f>
        <v>330.22</v>
      </c>
      <c r="F137" s="4" t="s">
        <v>158</v>
      </c>
      <c r="G137" s="4" t="s">
        <v>159</v>
      </c>
    </row>
    <row r="138" spans="1:7" ht="13">
      <c r="A138" s="21"/>
      <c r="B138" s="4"/>
      <c r="C138" s="4"/>
      <c r="D138" s="4" t="s">
        <v>160</v>
      </c>
      <c r="E138" s="44">
        <f>E137*3600*0.001/E135</f>
        <v>4.6585875268817203</v>
      </c>
      <c r="F138" s="4" t="s">
        <v>161</v>
      </c>
      <c r="G138" s="4" t="s">
        <v>162</v>
      </c>
    </row>
    <row r="139" spans="1:7" ht="13">
      <c r="A139" s="21"/>
      <c r="B139" s="4"/>
      <c r="C139" s="4"/>
      <c r="E139" s="28"/>
    </row>
    <row r="140" spans="1:7" ht="13">
      <c r="A140" s="21"/>
      <c r="B140" s="4"/>
      <c r="C140" s="4"/>
      <c r="E140" s="28"/>
    </row>
    <row r="141" spans="1:7" ht="13">
      <c r="A141" s="21"/>
      <c r="B141" s="4"/>
      <c r="C141" s="4"/>
      <c r="E141" s="28"/>
    </row>
    <row r="142" spans="1:7" ht="13">
      <c r="A142" s="21"/>
      <c r="B142" s="4"/>
      <c r="C142" s="4"/>
      <c r="E142" s="28"/>
    </row>
    <row r="143" spans="1:7" ht="13">
      <c r="A143" s="21"/>
      <c r="B143" s="4"/>
      <c r="C143" s="4"/>
      <c r="E143" s="28"/>
    </row>
    <row r="144" spans="1:7" ht="13">
      <c r="A144" s="21"/>
      <c r="B144" s="4"/>
      <c r="C144" s="4"/>
      <c r="E144" s="28"/>
    </row>
    <row r="145" spans="1:5" ht="13">
      <c r="A145" s="21"/>
      <c r="B145" s="4"/>
      <c r="C145" s="4"/>
      <c r="E145" s="28"/>
    </row>
    <row r="146" spans="1:5" ht="13">
      <c r="A146" s="21"/>
      <c r="B146" s="4"/>
      <c r="C146" s="4"/>
      <c r="E146" s="28"/>
    </row>
    <row r="147" spans="1:5" ht="13">
      <c r="A147" s="21"/>
      <c r="B147" s="4"/>
      <c r="C147" s="4"/>
      <c r="E147" s="28"/>
    </row>
    <row r="148" spans="1:5" ht="13">
      <c r="A148" s="21"/>
      <c r="B148" s="4"/>
      <c r="C148" s="4"/>
      <c r="E148" s="28"/>
    </row>
    <row r="149" spans="1:5" ht="13">
      <c r="A149" s="21"/>
      <c r="B149" s="4"/>
      <c r="C149" s="4"/>
      <c r="E149" s="28"/>
    </row>
    <row r="150" spans="1:5" ht="13">
      <c r="A150" s="21"/>
      <c r="B150" s="4"/>
      <c r="C150" s="4"/>
      <c r="E150" s="28"/>
    </row>
    <row r="151" spans="1:5" ht="13">
      <c r="A151" s="21"/>
      <c r="B151" s="4"/>
      <c r="C151" s="4"/>
      <c r="E151" s="28"/>
    </row>
    <row r="152" spans="1:5" ht="13">
      <c r="A152" s="21"/>
      <c r="B152" s="4"/>
      <c r="C152" s="4"/>
      <c r="E152" s="28"/>
    </row>
    <row r="153" spans="1:5" ht="13">
      <c r="A153" s="21"/>
      <c r="B153" s="4"/>
      <c r="C153" s="4"/>
      <c r="E153" s="28"/>
    </row>
    <row r="154" spans="1:5" ht="13">
      <c r="A154" s="21"/>
      <c r="B154" s="4"/>
      <c r="C154" s="4"/>
      <c r="E154" s="28"/>
    </row>
    <row r="155" spans="1:5" ht="13">
      <c r="A155" s="21"/>
      <c r="B155" s="4"/>
      <c r="C155" s="4"/>
      <c r="E155" s="28"/>
    </row>
    <row r="156" spans="1:5" ht="13">
      <c r="A156" s="21"/>
      <c r="B156" s="4"/>
      <c r="C156" s="4"/>
      <c r="E156" s="28"/>
    </row>
    <row r="157" spans="1:5" ht="13">
      <c r="A157" s="21"/>
      <c r="B157" s="4"/>
      <c r="C157" s="4"/>
      <c r="E157" s="28"/>
    </row>
    <row r="158" spans="1:5" ht="13">
      <c r="A158" s="21"/>
      <c r="B158" s="4"/>
      <c r="C158" s="4"/>
      <c r="E158" s="28"/>
    </row>
    <row r="159" spans="1:5" ht="13">
      <c r="A159" s="21"/>
      <c r="B159" s="4"/>
      <c r="C159" s="4"/>
      <c r="E159" s="28"/>
    </row>
    <row r="160" spans="1:5" ht="13">
      <c r="A160" s="21"/>
      <c r="B160" s="4"/>
      <c r="C160" s="4"/>
      <c r="E160" s="28"/>
    </row>
    <row r="161" spans="1:5" ht="13">
      <c r="A161" s="21"/>
      <c r="B161" s="4"/>
      <c r="C161" s="4"/>
      <c r="E161" s="28"/>
    </row>
    <row r="162" spans="1:5" ht="13">
      <c r="A162" s="21"/>
      <c r="B162" s="4"/>
      <c r="C162" s="4"/>
      <c r="E162" s="28"/>
    </row>
    <row r="163" spans="1:5" ht="13">
      <c r="A163" s="21"/>
      <c r="B163" s="4"/>
      <c r="C163" s="4"/>
      <c r="E163" s="28"/>
    </row>
    <row r="164" spans="1:5" ht="13">
      <c r="A164" s="21"/>
      <c r="B164" s="4"/>
      <c r="C164" s="4"/>
      <c r="E164" s="28"/>
    </row>
    <row r="165" spans="1:5" ht="13">
      <c r="A165" s="21"/>
      <c r="B165" s="4"/>
      <c r="C165" s="4"/>
      <c r="E165" s="28"/>
    </row>
    <row r="166" spans="1:5" ht="13">
      <c r="A166" s="21"/>
      <c r="B166" s="4"/>
      <c r="C166" s="4"/>
      <c r="E166" s="28"/>
    </row>
    <row r="167" spans="1:5" ht="13">
      <c r="A167" s="21"/>
      <c r="B167" s="4"/>
      <c r="C167" s="4"/>
      <c r="E167" s="28"/>
    </row>
    <row r="168" spans="1:5" ht="13">
      <c r="A168" s="21"/>
      <c r="B168" s="4"/>
      <c r="C168" s="4"/>
      <c r="E168" s="28"/>
    </row>
    <row r="169" spans="1:5" ht="13">
      <c r="A169" s="21"/>
      <c r="B169" s="4"/>
      <c r="C169" s="4"/>
      <c r="E169" s="28"/>
    </row>
    <row r="170" spans="1:5" ht="13">
      <c r="A170" s="21"/>
      <c r="B170" s="4"/>
      <c r="C170" s="4"/>
      <c r="E170" s="28"/>
    </row>
    <row r="171" spans="1:5" ht="13">
      <c r="A171" s="21"/>
      <c r="B171" s="4"/>
      <c r="C171" s="4"/>
      <c r="E171" s="28"/>
    </row>
    <row r="172" spans="1:5" ht="13">
      <c r="A172" s="21"/>
      <c r="B172" s="4"/>
      <c r="C172" s="20" t="s">
        <v>163</v>
      </c>
      <c r="E172" s="28"/>
    </row>
    <row r="173" spans="1:5" ht="13">
      <c r="A173" s="21"/>
      <c r="B173" s="4"/>
      <c r="C173" s="4"/>
      <c r="E173" s="28"/>
    </row>
    <row r="174" spans="1:5" ht="13">
      <c r="A174" s="21" t="s">
        <v>164</v>
      </c>
      <c r="B174" s="4"/>
      <c r="C174" s="4"/>
      <c r="E174" s="28"/>
    </row>
    <row r="175" spans="1:5" ht="13">
      <c r="A175" s="21"/>
      <c r="B175" s="4" t="s">
        <v>165</v>
      </c>
      <c r="C175" s="4"/>
      <c r="E175" s="28"/>
    </row>
    <row r="176" spans="1:5" ht="13">
      <c r="A176" s="21"/>
      <c r="B176" s="29">
        <v>0.63</v>
      </c>
      <c r="C176" s="27" t="s">
        <v>166</v>
      </c>
      <c r="E176" s="28"/>
    </row>
    <row r="177" spans="1:8" ht="13">
      <c r="A177" s="21"/>
      <c r="B177" s="29" t="s">
        <v>167</v>
      </c>
      <c r="C177" s="27" t="s">
        <v>168</v>
      </c>
      <c r="E177" s="28"/>
    </row>
    <row r="178" spans="1:8" ht="13">
      <c r="A178" s="21"/>
      <c r="B178" s="29">
        <f>0.008*60</f>
        <v>0.48</v>
      </c>
      <c r="C178" s="27" t="s">
        <v>169</v>
      </c>
      <c r="E178" s="28"/>
    </row>
    <row r="179" spans="1:8" ht="13">
      <c r="A179" s="21"/>
      <c r="B179" s="29"/>
      <c r="C179" s="4"/>
      <c r="D179" s="5" t="s">
        <v>170</v>
      </c>
      <c r="E179" s="28"/>
    </row>
    <row r="180" spans="1:8" ht="13">
      <c r="A180" s="21"/>
      <c r="B180" s="29" t="s">
        <v>171</v>
      </c>
      <c r="C180" s="27" t="s">
        <v>172</v>
      </c>
      <c r="E180" s="28"/>
    </row>
    <row r="181" spans="1:8" ht="13">
      <c r="A181" s="21"/>
      <c r="B181" s="4"/>
      <c r="C181" s="4"/>
      <c r="E181" s="28"/>
    </row>
    <row r="182" spans="1:8" ht="13">
      <c r="A182" s="21" t="s">
        <v>173</v>
      </c>
      <c r="B182" s="4"/>
      <c r="C182" s="4"/>
      <c r="E182" s="28"/>
    </row>
    <row r="183" spans="1:8" ht="13">
      <c r="A183" s="21"/>
      <c r="B183" s="45" t="s">
        <v>174</v>
      </c>
      <c r="C183" s="4"/>
      <c r="E183" s="28"/>
      <c r="H183" s="4"/>
    </row>
    <row r="184" spans="1:8" ht="13">
      <c r="A184" s="21"/>
      <c r="B184" s="45" t="s">
        <v>165</v>
      </c>
      <c r="C184" s="4"/>
      <c r="E184" s="28"/>
      <c r="H184" s="4"/>
    </row>
    <row r="185" spans="1:8" ht="13">
      <c r="A185" s="21"/>
      <c r="B185" s="29" t="s">
        <v>175</v>
      </c>
      <c r="C185" s="27" t="s">
        <v>176</v>
      </c>
      <c r="E185" s="28"/>
      <c r="H185" s="4" t="s">
        <v>177</v>
      </c>
    </row>
    <row r="186" spans="1:8" ht="13">
      <c r="A186" s="21"/>
      <c r="B186" s="29">
        <v>0.24</v>
      </c>
      <c r="C186" s="27" t="s">
        <v>178</v>
      </c>
      <c r="E186" s="28"/>
      <c r="H186" s="4" t="s">
        <v>179</v>
      </c>
    </row>
    <row r="187" spans="1:8" ht="13">
      <c r="A187" s="21"/>
      <c r="B187" s="4"/>
      <c r="C187" s="4"/>
      <c r="E187" s="28"/>
    </row>
    <row r="188" spans="1:8" ht="13">
      <c r="A188" s="21" t="s">
        <v>180</v>
      </c>
      <c r="B188" s="4"/>
      <c r="C188" s="4"/>
      <c r="E188" s="28"/>
    </row>
    <row r="189" spans="1:8" ht="13">
      <c r="B189" s="4" t="s">
        <v>181</v>
      </c>
      <c r="C189" s="4"/>
      <c r="E189" s="28"/>
    </row>
    <row r="190" spans="1:8" ht="13">
      <c r="B190" s="4" t="s">
        <v>182</v>
      </c>
      <c r="C190" s="4"/>
      <c r="E190" s="28"/>
    </row>
    <row r="191" spans="1:8" ht="13">
      <c r="B191" s="4" t="s">
        <v>183</v>
      </c>
      <c r="C191" s="4"/>
      <c r="E191" s="28"/>
    </row>
    <row r="192" spans="1:8" ht="13">
      <c r="B192" s="4" t="s">
        <v>184</v>
      </c>
      <c r="C192" s="4"/>
      <c r="E192" s="28"/>
    </row>
    <row r="193" spans="1:10" ht="13">
      <c r="B193" s="4"/>
      <c r="C193" s="4" t="s">
        <v>185</v>
      </c>
      <c r="E193" s="28"/>
      <c r="G193" s="46">
        <v>0.2</v>
      </c>
    </row>
    <row r="194" spans="1:10" ht="13">
      <c r="B194" s="4"/>
      <c r="C194" s="4" t="s">
        <v>186</v>
      </c>
      <c r="E194" s="28"/>
      <c r="G194" s="47">
        <v>7</v>
      </c>
      <c r="H194" s="4" t="s">
        <v>187</v>
      </c>
    </row>
    <row r="195" spans="1:10" ht="13">
      <c r="B195" s="4"/>
      <c r="C195" s="4" t="s">
        <v>188</v>
      </c>
      <c r="E195" s="28"/>
      <c r="G195" s="48">
        <f>G193/(2*30)*G194</f>
        <v>2.3333333333333334E-2</v>
      </c>
    </row>
    <row r="196" spans="1:10" ht="13">
      <c r="B196" s="4" t="s">
        <v>189</v>
      </c>
      <c r="C196" s="4"/>
      <c r="E196" s="28"/>
    </row>
    <row r="197" spans="1:10" ht="13">
      <c r="B197" s="4"/>
      <c r="C197" s="4" t="s">
        <v>190</v>
      </c>
      <c r="E197" s="28"/>
      <c r="G197" s="47">
        <v>1.8</v>
      </c>
    </row>
    <row r="198" spans="1:10" ht="13">
      <c r="B198" s="4"/>
      <c r="C198" s="4" t="s">
        <v>191</v>
      </c>
      <c r="E198" s="28"/>
      <c r="G198" s="46">
        <v>0.5</v>
      </c>
    </row>
    <row r="199" spans="1:10" ht="13">
      <c r="B199" s="4"/>
      <c r="C199" s="4" t="s">
        <v>186</v>
      </c>
      <c r="E199" s="28"/>
      <c r="G199" s="47">
        <v>7</v>
      </c>
      <c r="H199" s="4" t="s">
        <v>187</v>
      </c>
    </row>
    <row r="200" spans="1:10" ht="13">
      <c r="B200" s="4"/>
      <c r="C200" s="4" t="s">
        <v>188</v>
      </c>
      <c r="E200" s="28"/>
      <c r="G200" s="49">
        <f>G197*0.00001/G198*G199</f>
        <v>2.52E-4</v>
      </c>
    </row>
    <row r="201" spans="1:10" ht="13">
      <c r="B201" s="4"/>
      <c r="C201" s="4"/>
      <c r="E201" s="28"/>
    </row>
    <row r="202" spans="1:10" ht="13">
      <c r="A202" s="14" t="s">
        <v>192</v>
      </c>
      <c r="B202" s="15"/>
      <c r="C202" s="15"/>
      <c r="D202" s="15"/>
      <c r="E202" s="15"/>
      <c r="F202" s="15"/>
      <c r="G202" s="16"/>
      <c r="H202" s="15"/>
      <c r="I202" s="15"/>
      <c r="J202" s="15"/>
    </row>
    <row r="203" spans="1:10" ht="13">
      <c r="A203" s="50">
        <v>2</v>
      </c>
      <c r="B203" s="51">
        <v>44005</v>
      </c>
      <c r="C203" s="5" t="s">
        <v>193</v>
      </c>
      <c r="E203" s="28"/>
    </row>
    <row r="204" spans="1:10" ht="13">
      <c r="A204" s="29" t="s">
        <v>194</v>
      </c>
      <c r="B204" s="51">
        <v>44005</v>
      </c>
      <c r="C204" s="4" t="s">
        <v>195</v>
      </c>
      <c r="E204" s="28"/>
    </row>
    <row r="205" spans="1:10" ht="13">
      <c r="A205" s="29">
        <v>2.5</v>
      </c>
      <c r="B205" s="51">
        <v>44005</v>
      </c>
      <c r="C205" s="4" t="s">
        <v>196</v>
      </c>
      <c r="E205" s="28"/>
    </row>
    <row r="206" spans="1:10" ht="13">
      <c r="A206" s="29" t="s">
        <v>197</v>
      </c>
      <c r="B206" s="37" t="s">
        <v>198</v>
      </c>
      <c r="C206" s="4" t="s">
        <v>199</v>
      </c>
      <c r="E206" s="28"/>
    </row>
    <row r="207" spans="1:10" ht="13">
      <c r="A207" s="29" t="s">
        <v>200</v>
      </c>
      <c r="B207" s="37" t="s">
        <v>201</v>
      </c>
      <c r="C207" s="20" t="s">
        <v>202</v>
      </c>
      <c r="E207" s="28"/>
    </row>
  </sheetData>
  <mergeCells count="2">
    <mergeCell ref="C6:J6"/>
    <mergeCell ref="A12:J12"/>
  </mergeCells>
  <hyperlinks>
    <hyperlink ref="B3" r:id="rId1" xr:uid="{00000000-0004-0000-0000-000000000000}"/>
    <hyperlink ref="H3" r:id="rId2" xr:uid="{00000000-0004-0000-0000-000001000000}"/>
    <hyperlink ref="C4" r:id="rId3" xr:uid="{00000000-0004-0000-0000-000002000000}"/>
    <hyperlink ref="D49" r:id="rId4" xr:uid="{00000000-0004-0000-0000-000003000000}"/>
    <hyperlink ref="D50" r:id="rId5" xr:uid="{00000000-0004-0000-0000-000004000000}"/>
    <hyperlink ref="D51" r:id="rId6" xr:uid="{00000000-0004-0000-0000-000005000000}"/>
    <hyperlink ref="D52" r:id="rId7" xr:uid="{00000000-0004-0000-0000-000006000000}"/>
    <hyperlink ref="G66" r:id="rId8" xr:uid="{00000000-0004-0000-0000-000007000000}"/>
    <hyperlink ref="H70" r:id="rId9" xr:uid="{00000000-0004-0000-0000-000008000000}"/>
    <hyperlink ref="I70" r:id="rId10" xr:uid="{00000000-0004-0000-0000-000009000000}"/>
    <hyperlink ref="B93" r:id="rId11" xr:uid="{00000000-0004-0000-0000-00000A000000}"/>
    <hyperlink ref="E102" r:id="rId12" xr:uid="{00000000-0004-0000-0000-00000B000000}"/>
    <hyperlink ref="F106" r:id="rId13" xr:uid="{00000000-0004-0000-0000-00000C000000}"/>
    <hyperlink ref="D119" r:id="rId14" xr:uid="{00000000-0004-0000-0000-00000D000000}"/>
    <hyperlink ref="D120" r:id="rId15" xr:uid="{00000000-0004-0000-0000-00000E000000}"/>
    <hyperlink ref="D121" r:id="rId16" xr:uid="{00000000-0004-0000-0000-00000F000000}"/>
    <hyperlink ref="D122" r:id="rId17" xr:uid="{00000000-0004-0000-0000-000010000000}"/>
    <hyperlink ref="D123" r:id="rId18" xr:uid="{00000000-0004-0000-0000-000011000000}"/>
    <hyperlink ref="D124" r:id="rId19" xr:uid="{00000000-0004-0000-0000-000012000000}"/>
    <hyperlink ref="D126" r:id="rId20" xr:uid="{00000000-0004-0000-0000-000013000000}"/>
    <hyperlink ref="C176" r:id="rId21" xr:uid="{00000000-0004-0000-0000-000014000000}"/>
    <hyperlink ref="C177" r:id="rId22" xr:uid="{00000000-0004-0000-0000-000015000000}"/>
    <hyperlink ref="C178" r:id="rId23" xr:uid="{00000000-0004-0000-0000-000016000000}"/>
    <hyperlink ref="D179" r:id="rId24" xr:uid="{00000000-0004-0000-0000-000017000000}"/>
    <hyperlink ref="C180" r:id="rId25" xr:uid="{00000000-0004-0000-0000-000018000000}"/>
    <hyperlink ref="C185" r:id="rId26" xr:uid="{00000000-0004-0000-0000-000019000000}"/>
    <hyperlink ref="C186" r:id="rId27" xr:uid="{00000000-0004-0000-0000-00001A000000}"/>
    <hyperlink ref="C203" r:id="rId28" xr:uid="{00000000-0004-0000-0000-00001B000000}"/>
  </hyperlinks>
  <pageMargins left="0.7" right="0.7" top="0.75" bottom="0.75" header="0.3" footer="0.3"/>
  <drawing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H35"/>
  <sheetViews>
    <sheetView workbookViewId="0"/>
  </sheetViews>
  <sheetFormatPr baseColWidth="10" defaultColWidth="14.5" defaultRowHeight="15.75" customHeight="1"/>
  <cols>
    <col min="1" max="1" width="28" customWidth="1"/>
    <col min="3" max="3" width="10.1640625" customWidth="1"/>
    <col min="4" max="4" width="5.5" customWidth="1"/>
    <col min="7" max="7" width="84.83203125" customWidth="1"/>
  </cols>
  <sheetData>
    <row r="1" spans="1:8" ht="8.25" customHeight="1">
      <c r="A1" s="1"/>
      <c r="B1" s="1"/>
      <c r="C1" s="1"/>
      <c r="D1" s="1"/>
      <c r="E1" s="1"/>
      <c r="F1" s="1"/>
      <c r="G1" s="1"/>
      <c r="H1" s="1"/>
    </row>
    <row r="2" spans="1:8" ht="22.5" customHeight="1">
      <c r="A2" s="2" t="s">
        <v>417</v>
      </c>
      <c r="B2" s="3"/>
      <c r="C2" s="3"/>
      <c r="D2" s="3"/>
      <c r="E2" s="3"/>
      <c r="F2" s="3"/>
      <c r="G2" s="3"/>
      <c r="H2" s="3"/>
    </row>
    <row r="4" spans="1:8" ht="13">
      <c r="A4" s="14" t="s">
        <v>272</v>
      </c>
      <c r="B4" s="15"/>
      <c r="C4" s="15"/>
      <c r="D4" s="15"/>
      <c r="E4" s="15"/>
      <c r="F4" s="15"/>
      <c r="G4" s="15"/>
      <c r="H4" s="15"/>
    </row>
    <row r="5" spans="1:8" ht="13">
      <c r="B5" s="21" t="s">
        <v>273</v>
      </c>
      <c r="E5" s="21" t="s">
        <v>274</v>
      </c>
      <c r="G5" s="21" t="s">
        <v>275</v>
      </c>
    </row>
    <row r="6" spans="1:8" ht="13">
      <c r="A6" s="4" t="s">
        <v>147</v>
      </c>
      <c r="B6" s="47">
        <f>30*60</f>
        <v>1800</v>
      </c>
      <c r="C6" s="4" t="s">
        <v>276</v>
      </c>
      <c r="D6" s="62" t="s">
        <v>277</v>
      </c>
      <c r="E6" s="63">
        <f>B6*0.305^2</f>
        <v>167.44499999999999</v>
      </c>
      <c r="F6" s="4" t="s">
        <v>148</v>
      </c>
      <c r="G6" s="4" t="s">
        <v>418</v>
      </c>
    </row>
    <row r="7" spans="1:8" ht="13">
      <c r="A7" s="4" t="s">
        <v>279</v>
      </c>
      <c r="B7" s="84">
        <v>15</v>
      </c>
      <c r="C7" s="4" t="s">
        <v>280</v>
      </c>
      <c r="D7" s="62" t="s">
        <v>277</v>
      </c>
      <c r="E7" s="63">
        <f>B7*0.305</f>
        <v>4.5750000000000002</v>
      </c>
      <c r="F7" s="4" t="s">
        <v>151</v>
      </c>
      <c r="G7" s="4" t="s">
        <v>419</v>
      </c>
    </row>
    <row r="8" spans="1:8" ht="13">
      <c r="A8" s="4" t="s">
        <v>281</v>
      </c>
      <c r="E8" s="84">
        <f>E6*E7</f>
        <v>766.06087500000001</v>
      </c>
      <c r="F8" s="4" t="s">
        <v>153</v>
      </c>
    </row>
    <row r="10" spans="1:8" ht="13">
      <c r="A10" s="4" t="s">
        <v>420</v>
      </c>
      <c r="B10" s="47">
        <v>1</v>
      </c>
      <c r="C10" s="4" t="s">
        <v>283</v>
      </c>
      <c r="G10" s="4" t="s">
        <v>418</v>
      </c>
    </row>
    <row r="11" spans="1:8" ht="13">
      <c r="A11" s="4" t="s">
        <v>407</v>
      </c>
      <c r="B11" s="47">
        <v>60</v>
      </c>
      <c r="C11" s="4" t="s">
        <v>285</v>
      </c>
      <c r="G11" s="4" t="s">
        <v>418</v>
      </c>
    </row>
    <row r="12" spans="1:8" ht="13">
      <c r="A12" s="4" t="s">
        <v>408</v>
      </c>
      <c r="B12" s="4">
        <v>0.8</v>
      </c>
      <c r="C12" s="4" t="s">
        <v>291</v>
      </c>
      <c r="E12" s="65"/>
      <c r="F12" s="4"/>
      <c r="G12" s="4" t="s">
        <v>292</v>
      </c>
    </row>
    <row r="13" spans="1:8" ht="13">
      <c r="A13" s="4" t="s">
        <v>410</v>
      </c>
      <c r="B13" s="4">
        <v>0.8</v>
      </c>
      <c r="C13" s="4" t="s">
        <v>291</v>
      </c>
      <c r="E13" s="65"/>
      <c r="F13" s="4"/>
      <c r="G13" s="4" t="s">
        <v>292</v>
      </c>
    </row>
    <row r="14" spans="1:8" ht="13">
      <c r="A14" s="4"/>
      <c r="B14" s="4"/>
      <c r="C14" s="4"/>
      <c r="E14" s="65"/>
      <c r="F14" s="4"/>
      <c r="G14" s="4"/>
    </row>
    <row r="15" spans="1:8" ht="13">
      <c r="A15" s="4" t="s">
        <v>411</v>
      </c>
      <c r="B15" s="4">
        <v>150</v>
      </c>
      <c r="C15" s="4" t="s">
        <v>294</v>
      </c>
      <c r="E15" s="86">
        <v>2.5</v>
      </c>
      <c r="F15" s="4" t="s">
        <v>295</v>
      </c>
      <c r="G15" s="4" t="s">
        <v>418</v>
      </c>
    </row>
    <row r="17" spans="1:8" ht="13">
      <c r="A17" s="4" t="s">
        <v>421</v>
      </c>
      <c r="B17" s="47">
        <v>15</v>
      </c>
      <c r="C17" s="4" t="s">
        <v>422</v>
      </c>
      <c r="E17" s="63">
        <f>B17*1000/36000</f>
        <v>0.41666666666666669</v>
      </c>
      <c r="F17" s="4" t="s">
        <v>423</v>
      </c>
      <c r="G17" s="32" t="s">
        <v>424</v>
      </c>
    </row>
    <row r="18" spans="1:8" ht="13">
      <c r="A18" s="4"/>
      <c r="B18" s="4"/>
      <c r="C18" s="4"/>
      <c r="G18" s="4"/>
    </row>
    <row r="19" spans="1:8" ht="13">
      <c r="A19" s="4" t="s">
        <v>296</v>
      </c>
      <c r="B19" s="84">
        <f>E17/ SQRT(E6) *3600</f>
        <v>115.91914445681108</v>
      </c>
      <c r="C19" s="4" t="s">
        <v>161</v>
      </c>
      <c r="G19" s="4" t="s">
        <v>425</v>
      </c>
    </row>
    <row r="20" spans="1:8" ht="13">
      <c r="A20" s="4" t="s">
        <v>299</v>
      </c>
      <c r="B20" s="4">
        <v>9.3000000000000007</v>
      </c>
      <c r="C20" s="4" t="s">
        <v>161</v>
      </c>
      <c r="G20" s="32" t="s">
        <v>426</v>
      </c>
    </row>
    <row r="21" spans="1:8" ht="13">
      <c r="A21" s="4" t="s">
        <v>301</v>
      </c>
      <c r="B21" s="4">
        <v>0.3</v>
      </c>
      <c r="C21" s="4" t="s">
        <v>161</v>
      </c>
      <c r="G21" s="4" t="s">
        <v>302</v>
      </c>
    </row>
    <row r="22" spans="1:8" ht="13">
      <c r="A22" s="4" t="s">
        <v>303</v>
      </c>
      <c r="B22" s="4">
        <v>0</v>
      </c>
      <c r="C22" s="4" t="s">
        <v>161</v>
      </c>
      <c r="G22" s="4" t="s">
        <v>304</v>
      </c>
    </row>
    <row r="23" spans="1:8" ht="13">
      <c r="A23" s="4" t="s">
        <v>305</v>
      </c>
      <c r="B23" s="64">
        <f>SUM(B19:B22)</f>
        <v>125.51914445681108</v>
      </c>
      <c r="C23" s="4" t="s">
        <v>161</v>
      </c>
    </row>
    <row r="25" spans="1:8" ht="13">
      <c r="A25" s="14" t="s">
        <v>399</v>
      </c>
      <c r="B25" s="15"/>
      <c r="C25" s="15"/>
      <c r="D25" s="15"/>
      <c r="E25" s="15"/>
      <c r="F25" s="15"/>
      <c r="G25" s="15"/>
      <c r="H25" s="15"/>
    </row>
    <row r="26" spans="1:8" ht="13">
      <c r="A26" s="4"/>
      <c r="B26" s="4"/>
      <c r="C26" s="4"/>
      <c r="G26" s="4"/>
    </row>
    <row r="27" spans="1:8" ht="13">
      <c r="A27" s="4" t="s">
        <v>412</v>
      </c>
      <c r="B27" s="47">
        <v>970</v>
      </c>
      <c r="C27" s="4" t="s">
        <v>308</v>
      </c>
      <c r="G27" s="4" t="s">
        <v>427</v>
      </c>
    </row>
    <row r="28" spans="1:8" ht="13">
      <c r="A28" s="4" t="s">
        <v>428</v>
      </c>
      <c r="B28" s="46">
        <v>0</v>
      </c>
      <c r="C28" s="4"/>
      <c r="G28" s="4" t="s">
        <v>429</v>
      </c>
    </row>
    <row r="29" spans="1:8" ht="13">
      <c r="A29" s="4" t="s">
        <v>312</v>
      </c>
      <c r="B29" s="66">
        <f>B27*(1-B28)*B10</f>
        <v>970</v>
      </c>
      <c r="C29" s="4" t="s">
        <v>308</v>
      </c>
      <c r="G29" s="4" t="s">
        <v>430</v>
      </c>
    </row>
    <row r="30" spans="1:8" ht="13">
      <c r="A30" s="4"/>
      <c r="B30" s="65"/>
      <c r="C30" s="4"/>
      <c r="G30" s="4"/>
    </row>
    <row r="31" spans="1:8" ht="13">
      <c r="A31" s="4" t="s">
        <v>313</v>
      </c>
      <c r="B31" s="65">
        <f>B$29/B$23/E$8*(1-(1/B$23/E$15)*(1-EXP(-B$23*E$15)))</f>
        <v>1.0055699284850349E-2</v>
      </c>
      <c r="C31" s="4" t="s">
        <v>314</v>
      </c>
      <c r="G31" s="4" t="s">
        <v>315</v>
      </c>
    </row>
    <row r="33" spans="1:7" ht="13">
      <c r="A33" s="4" t="s">
        <v>317</v>
      </c>
      <c r="B33" s="65">
        <f>B31*B$13*E$15</f>
        <v>2.0111398569700699E-2</v>
      </c>
      <c r="C33" s="4" t="s">
        <v>318</v>
      </c>
    </row>
    <row r="34" spans="1:7" ht="13">
      <c r="A34" s="67" t="s">
        <v>319</v>
      </c>
      <c r="B34" s="68">
        <f>1-EXP(-B33)</f>
        <v>1.9910513341742431E-2</v>
      </c>
      <c r="G34" s="4" t="s">
        <v>386</v>
      </c>
    </row>
    <row r="35" spans="1:7" ht="13">
      <c r="A35" s="67" t="s">
        <v>321</v>
      </c>
      <c r="B35" s="74">
        <f>B$11*B34</f>
        <v>1.1946308005045458</v>
      </c>
    </row>
  </sheetData>
  <hyperlinks>
    <hyperlink ref="G17" r:id="rId1" xr:uid="{00000000-0004-0000-0700-000000000000}"/>
    <hyperlink ref="G20" r:id="rId2" xr:uid="{00000000-0004-0000-0700-000001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H37"/>
  <sheetViews>
    <sheetView workbookViewId="0"/>
  </sheetViews>
  <sheetFormatPr baseColWidth="10" defaultColWidth="14.5" defaultRowHeight="15.75" customHeight="1"/>
  <cols>
    <col min="1" max="1" width="28" customWidth="1"/>
    <col min="3" max="3" width="10.1640625" customWidth="1"/>
    <col min="4" max="4" width="5.5" customWidth="1"/>
    <col min="7" max="7" width="84.83203125" customWidth="1"/>
  </cols>
  <sheetData>
    <row r="1" spans="1:8" ht="8.25" customHeight="1">
      <c r="A1" s="1"/>
      <c r="B1" s="1"/>
      <c r="C1" s="1"/>
      <c r="D1" s="1"/>
      <c r="E1" s="1"/>
      <c r="F1" s="1"/>
      <c r="G1" s="1"/>
      <c r="H1" s="1"/>
    </row>
    <row r="2" spans="1:8" ht="22.5" customHeight="1">
      <c r="A2" s="2" t="s">
        <v>431</v>
      </c>
      <c r="B2" s="3"/>
      <c r="C2" s="3"/>
      <c r="D2" s="3"/>
      <c r="E2" s="3"/>
      <c r="F2" s="3"/>
      <c r="G2" s="3"/>
      <c r="H2" s="3"/>
    </row>
    <row r="4" spans="1:8" ht="13">
      <c r="A4" s="14" t="s">
        <v>272</v>
      </c>
      <c r="B4" s="15"/>
      <c r="C4" s="15"/>
      <c r="D4" s="15"/>
      <c r="E4" s="15"/>
      <c r="F4" s="15"/>
      <c r="G4" s="15"/>
      <c r="H4" s="15"/>
    </row>
    <row r="5" spans="1:8" ht="13">
      <c r="B5" s="21" t="s">
        <v>273</v>
      </c>
      <c r="E5" s="21" t="s">
        <v>274</v>
      </c>
      <c r="G5" s="21" t="s">
        <v>275</v>
      </c>
    </row>
    <row r="6" spans="1:8" ht="13">
      <c r="A6" s="4" t="s">
        <v>147</v>
      </c>
      <c r="B6" s="47">
        <f>30*60</f>
        <v>1800</v>
      </c>
      <c r="C6" s="4" t="s">
        <v>276</v>
      </c>
      <c r="D6" s="62" t="s">
        <v>277</v>
      </c>
      <c r="E6" s="64">
        <f>B6*0.305^2</f>
        <v>167.44499999999999</v>
      </c>
      <c r="F6" s="4" t="s">
        <v>148</v>
      </c>
      <c r="G6" s="4" t="s">
        <v>418</v>
      </c>
    </row>
    <row r="7" spans="1:8" ht="13">
      <c r="A7" s="4" t="s">
        <v>279</v>
      </c>
      <c r="B7" s="84">
        <v>15</v>
      </c>
      <c r="C7" s="4" t="s">
        <v>280</v>
      </c>
      <c r="D7" s="62" t="s">
        <v>277</v>
      </c>
      <c r="E7" s="64">
        <f>B7*0.305</f>
        <v>4.5750000000000002</v>
      </c>
      <c r="F7" s="4" t="s">
        <v>151</v>
      </c>
      <c r="G7" s="4" t="s">
        <v>419</v>
      </c>
    </row>
    <row r="8" spans="1:8" ht="13">
      <c r="A8" s="4" t="s">
        <v>281</v>
      </c>
      <c r="E8" s="84">
        <f>E6*E7</f>
        <v>766.06087500000001</v>
      </c>
      <c r="F8" s="4" t="s">
        <v>153</v>
      </c>
    </row>
    <row r="10" spans="1:8" ht="13">
      <c r="A10" s="4" t="s">
        <v>432</v>
      </c>
      <c r="B10" s="71">
        <v>3.0000000000000001E-3</v>
      </c>
      <c r="C10" s="4"/>
      <c r="G10" s="4" t="s">
        <v>311</v>
      </c>
    </row>
    <row r="11" spans="1:8" ht="13">
      <c r="A11" s="4"/>
      <c r="B11" s="4"/>
      <c r="C11" s="4"/>
      <c r="G11" s="4"/>
    </row>
    <row r="12" spans="1:8" ht="13">
      <c r="A12" s="4" t="s">
        <v>433</v>
      </c>
      <c r="B12" s="85">
        <f>B13*B10</f>
        <v>2.5116749999999999</v>
      </c>
      <c r="C12" s="4" t="s">
        <v>283</v>
      </c>
      <c r="G12" s="4" t="s">
        <v>418</v>
      </c>
    </row>
    <row r="13" spans="1:8" ht="13">
      <c r="A13" s="4" t="s">
        <v>407</v>
      </c>
      <c r="B13" s="84">
        <f>E6*5</f>
        <v>837.22499999999991</v>
      </c>
      <c r="C13" s="4" t="s">
        <v>285</v>
      </c>
      <c r="G13" s="32" t="s">
        <v>434</v>
      </c>
    </row>
    <row r="14" spans="1:8" ht="13">
      <c r="A14" s="4" t="s">
        <v>408</v>
      </c>
      <c r="B14" s="4">
        <v>0.8</v>
      </c>
      <c r="C14" s="4" t="s">
        <v>291</v>
      </c>
      <c r="E14" s="65"/>
      <c r="F14" s="4"/>
      <c r="G14" s="4" t="s">
        <v>292</v>
      </c>
    </row>
    <row r="15" spans="1:8" ht="13">
      <c r="A15" s="4" t="s">
        <v>410</v>
      </c>
      <c r="B15" s="4">
        <v>0.8</v>
      </c>
      <c r="C15" s="4" t="s">
        <v>291</v>
      </c>
      <c r="E15" s="65"/>
      <c r="F15" s="4"/>
      <c r="G15" s="4" t="s">
        <v>292</v>
      </c>
    </row>
    <row r="16" spans="1:8" ht="13">
      <c r="A16" s="4"/>
      <c r="B16" s="4"/>
      <c r="C16" s="4"/>
      <c r="E16" s="65"/>
      <c r="F16" s="4"/>
      <c r="G16" s="4"/>
    </row>
    <row r="17" spans="1:8" ht="13">
      <c r="A17" s="4" t="s">
        <v>411</v>
      </c>
      <c r="B17" s="4">
        <v>150</v>
      </c>
      <c r="C17" s="4" t="s">
        <v>294</v>
      </c>
      <c r="E17" s="86">
        <v>2.5</v>
      </c>
      <c r="F17" s="4" t="s">
        <v>295</v>
      </c>
      <c r="G17" s="4" t="s">
        <v>435</v>
      </c>
    </row>
    <row r="19" spans="1:8" ht="13">
      <c r="A19" s="4" t="s">
        <v>421</v>
      </c>
      <c r="B19" s="47">
        <v>15</v>
      </c>
      <c r="C19" s="4" t="s">
        <v>422</v>
      </c>
      <c r="E19" s="63">
        <f>B19*1000/36000</f>
        <v>0.41666666666666669</v>
      </c>
      <c r="F19" s="4" t="s">
        <v>423</v>
      </c>
      <c r="G19" s="32" t="s">
        <v>436</v>
      </c>
    </row>
    <row r="20" spans="1:8" ht="13">
      <c r="A20" s="4"/>
      <c r="B20" s="4"/>
      <c r="C20" s="4"/>
      <c r="G20" s="4"/>
    </row>
    <row r="21" spans="1:8" ht="13">
      <c r="A21" s="4" t="s">
        <v>296</v>
      </c>
      <c r="B21" s="84">
        <f>E19/ SQRT(E6) *3600</f>
        <v>115.91914445681108</v>
      </c>
      <c r="C21" s="4" t="s">
        <v>161</v>
      </c>
      <c r="G21" s="4" t="s">
        <v>425</v>
      </c>
    </row>
    <row r="22" spans="1:8" ht="13">
      <c r="A22" s="4" t="s">
        <v>299</v>
      </c>
      <c r="B22" s="4">
        <v>9.3000000000000007</v>
      </c>
      <c r="C22" s="4" t="s">
        <v>161</v>
      </c>
      <c r="G22" s="32" t="s">
        <v>437</v>
      </c>
    </row>
    <row r="23" spans="1:8" ht="13">
      <c r="A23" s="4" t="s">
        <v>301</v>
      </c>
      <c r="B23" s="4">
        <v>0.3</v>
      </c>
      <c r="C23" s="4" t="s">
        <v>161</v>
      </c>
      <c r="G23" s="4" t="s">
        <v>302</v>
      </c>
    </row>
    <row r="24" spans="1:8" ht="13">
      <c r="A24" s="4" t="s">
        <v>303</v>
      </c>
      <c r="B24" s="4">
        <v>0</v>
      </c>
      <c r="C24" s="4" t="s">
        <v>161</v>
      </c>
      <c r="G24" s="4" t="s">
        <v>304</v>
      </c>
    </row>
    <row r="25" spans="1:8" ht="13">
      <c r="A25" s="4" t="s">
        <v>305</v>
      </c>
      <c r="B25" s="64">
        <f>SUM(B21:B24)</f>
        <v>125.51914445681108</v>
      </c>
      <c r="C25" s="4" t="s">
        <v>161</v>
      </c>
    </row>
    <row r="27" spans="1:8" ht="13">
      <c r="A27" s="14" t="s">
        <v>399</v>
      </c>
      <c r="B27" s="15"/>
      <c r="C27" s="15"/>
      <c r="D27" s="15"/>
      <c r="E27" s="15"/>
      <c r="F27" s="15"/>
      <c r="G27" s="15"/>
      <c r="H27" s="15"/>
    </row>
    <row r="28" spans="1:8" ht="13">
      <c r="A28" s="4"/>
      <c r="B28" s="4"/>
      <c r="C28" s="4"/>
      <c r="G28" s="4"/>
    </row>
    <row r="29" spans="1:8" ht="13">
      <c r="A29" s="4" t="s">
        <v>412</v>
      </c>
      <c r="B29" s="47">
        <v>100</v>
      </c>
      <c r="C29" s="4" t="s">
        <v>308</v>
      </c>
      <c r="G29" s="4" t="s">
        <v>438</v>
      </c>
    </row>
    <row r="30" spans="1:8" ht="13">
      <c r="A30" s="4" t="s">
        <v>439</v>
      </c>
      <c r="B30" s="46">
        <v>0.4</v>
      </c>
      <c r="C30" s="4"/>
      <c r="G30" s="4" t="s">
        <v>440</v>
      </c>
    </row>
    <row r="31" spans="1:8" ht="13">
      <c r="A31" s="4" t="s">
        <v>312</v>
      </c>
      <c r="B31" s="64">
        <f>B29*(1-B30)*B12</f>
        <v>150.70050000000001</v>
      </c>
      <c r="C31" s="4" t="s">
        <v>308</v>
      </c>
      <c r="G31" s="4" t="s">
        <v>430</v>
      </c>
    </row>
    <row r="32" spans="1:8" ht="13">
      <c r="A32" s="4"/>
      <c r="B32" s="65"/>
      <c r="C32" s="4"/>
      <c r="G32" s="4"/>
    </row>
    <row r="33" spans="1:7" ht="13">
      <c r="A33" s="4" t="s">
        <v>313</v>
      </c>
      <c r="B33" s="65">
        <f>B$31/B$25/E$8*(1-(1/B$25/E$17)*(1-EXP(-B$25*E$17)))</f>
        <v>1.5622669176047323E-3</v>
      </c>
      <c r="C33" s="4" t="s">
        <v>314</v>
      </c>
      <c r="G33" s="4" t="s">
        <v>315</v>
      </c>
    </row>
    <row r="35" spans="1:7" ht="13">
      <c r="A35" s="4" t="s">
        <v>317</v>
      </c>
      <c r="B35" s="65">
        <f>B33*B$15*E$17</f>
        <v>3.1245338352094646E-3</v>
      </c>
      <c r="C35" s="4" t="s">
        <v>318</v>
      </c>
    </row>
    <row r="36" spans="1:7" ht="13">
      <c r="A36" s="67" t="s">
        <v>319</v>
      </c>
      <c r="B36" s="49">
        <f>1-EXP(-B35)</f>
        <v>3.119657559384148E-3</v>
      </c>
      <c r="G36" s="4" t="s">
        <v>386</v>
      </c>
    </row>
    <row r="37" spans="1:7" ht="13">
      <c r="A37" s="67" t="s">
        <v>321</v>
      </c>
      <c r="B37" s="73">
        <f>B$13*B36</f>
        <v>2.6118553001553932</v>
      </c>
    </row>
  </sheetData>
  <hyperlinks>
    <hyperlink ref="G13" r:id="rId1" xr:uid="{00000000-0004-0000-0800-000000000000}"/>
    <hyperlink ref="G19" r:id="rId2" xr:uid="{00000000-0004-0000-0800-000001000000}"/>
    <hyperlink ref="G22" r:id="rId3" xr:uid="{00000000-0004-0000-08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H41"/>
  <sheetViews>
    <sheetView workbookViewId="0"/>
  </sheetViews>
  <sheetFormatPr baseColWidth="10" defaultColWidth="14.5" defaultRowHeight="15.75" customHeight="1"/>
  <cols>
    <col min="1" max="1" width="28" customWidth="1"/>
    <col min="3" max="3" width="10.1640625" customWidth="1"/>
    <col min="4" max="4" width="5.5" customWidth="1"/>
    <col min="7" max="7" width="84.83203125" customWidth="1"/>
  </cols>
  <sheetData>
    <row r="1" spans="1:8" ht="8.25" customHeight="1">
      <c r="A1" s="1"/>
      <c r="B1" s="1"/>
      <c r="C1" s="1"/>
      <c r="D1" s="1"/>
      <c r="E1" s="1"/>
      <c r="F1" s="1"/>
      <c r="G1" s="1"/>
      <c r="H1" s="1"/>
    </row>
    <row r="2" spans="1:8" ht="22.5" customHeight="1">
      <c r="A2" s="2" t="s">
        <v>271</v>
      </c>
      <c r="B2" s="3"/>
      <c r="C2" s="3"/>
      <c r="D2" s="3"/>
      <c r="E2" s="3"/>
      <c r="F2" s="3"/>
      <c r="G2" s="3"/>
      <c r="H2" s="3"/>
    </row>
    <row r="4" spans="1:8" ht="13">
      <c r="A4" s="14" t="s">
        <v>272</v>
      </c>
      <c r="B4" s="15"/>
      <c r="C4" s="15"/>
      <c r="D4" s="15"/>
      <c r="E4" s="15"/>
      <c r="F4" s="15"/>
      <c r="G4" s="15"/>
      <c r="H4" s="15"/>
    </row>
    <row r="5" spans="1:8" ht="13">
      <c r="B5" s="21" t="s">
        <v>273</v>
      </c>
      <c r="E5" s="21" t="s">
        <v>274</v>
      </c>
      <c r="G5" s="21" t="s">
        <v>275</v>
      </c>
    </row>
    <row r="6" spans="1:8" ht="13">
      <c r="A6" s="4" t="s">
        <v>147</v>
      </c>
      <c r="B6" s="47">
        <f>435*337</f>
        <v>146595</v>
      </c>
      <c r="C6" s="4" t="s">
        <v>276</v>
      </c>
      <c r="D6" s="62" t="s">
        <v>277</v>
      </c>
      <c r="E6" s="63">
        <f>B6*0.305^2</f>
        <v>13636.999875</v>
      </c>
      <c r="F6" s="4" t="s">
        <v>148</v>
      </c>
      <c r="G6" s="87" t="s">
        <v>441</v>
      </c>
    </row>
    <row r="7" spans="1:8" ht="13">
      <c r="A7" s="4" t="s">
        <v>279</v>
      </c>
      <c r="B7" s="47">
        <v>120</v>
      </c>
      <c r="C7" s="4" t="s">
        <v>280</v>
      </c>
      <c r="D7" s="62" t="s">
        <v>277</v>
      </c>
      <c r="E7" s="63">
        <f>B7*0.305</f>
        <v>36.6</v>
      </c>
      <c r="F7" s="4" t="s">
        <v>151</v>
      </c>
      <c r="G7" s="27" t="s">
        <v>442</v>
      </c>
    </row>
    <row r="8" spans="1:8" ht="13">
      <c r="A8" s="4" t="s">
        <v>281</v>
      </c>
      <c r="E8" s="64">
        <f>E7*E6</f>
        <v>499114.19542499998</v>
      </c>
      <c r="F8" s="4" t="s">
        <v>153</v>
      </c>
    </row>
    <row r="10" spans="1:8" ht="13">
      <c r="A10" s="4" t="s">
        <v>443</v>
      </c>
      <c r="B10" s="47">
        <v>19199</v>
      </c>
      <c r="C10" s="4" t="s">
        <v>285</v>
      </c>
      <c r="G10" s="27" t="s">
        <v>442</v>
      </c>
    </row>
    <row r="11" spans="1:8" ht="13">
      <c r="A11" s="4" t="s">
        <v>394</v>
      </c>
      <c r="B11" s="4">
        <v>0.9</v>
      </c>
      <c r="C11" s="4" t="s">
        <v>288</v>
      </c>
      <c r="E11" s="65"/>
      <c r="F11" s="4"/>
      <c r="G11" s="4" t="s">
        <v>444</v>
      </c>
    </row>
    <row r="12" spans="1:8" ht="13">
      <c r="A12" s="4"/>
      <c r="B12" s="4"/>
      <c r="C12" s="4"/>
      <c r="E12" s="65"/>
      <c r="F12" s="4"/>
      <c r="G12" s="4"/>
    </row>
    <row r="13" spans="1:8" ht="13">
      <c r="A13" s="4" t="s">
        <v>445</v>
      </c>
      <c r="B13" s="4">
        <v>120</v>
      </c>
      <c r="C13" s="4" t="s">
        <v>294</v>
      </c>
      <c r="E13" s="65">
        <f>B13/60</f>
        <v>2</v>
      </c>
      <c r="F13" s="4" t="s">
        <v>295</v>
      </c>
      <c r="G13" s="4" t="s">
        <v>446</v>
      </c>
    </row>
    <row r="15" spans="1:8" ht="13">
      <c r="A15" s="4" t="s">
        <v>447</v>
      </c>
      <c r="B15" s="47">
        <f>230*85</f>
        <v>19550</v>
      </c>
      <c r="C15" s="4" t="s">
        <v>276</v>
      </c>
      <c r="D15" s="62" t="s">
        <v>277</v>
      </c>
      <c r="E15" s="63">
        <f t="shared" ref="E15:E16" si="0">B15*0.305^2</f>
        <v>1818.6387499999998</v>
      </c>
      <c r="F15" s="4" t="s">
        <v>148</v>
      </c>
      <c r="G15" s="87" t="s">
        <v>448</v>
      </c>
    </row>
    <row r="16" spans="1:8" ht="13">
      <c r="A16" s="4" t="s">
        <v>449</v>
      </c>
      <c r="B16" s="47">
        <f>B6-B15</f>
        <v>127045</v>
      </c>
      <c r="C16" s="4"/>
      <c r="D16" s="62" t="s">
        <v>277</v>
      </c>
      <c r="E16" s="63">
        <f t="shared" si="0"/>
        <v>11818.361124999999</v>
      </c>
      <c r="F16" s="4" t="s">
        <v>148</v>
      </c>
      <c r="G16" s="4"/>
    </row>
    <row r="17" spans="1:8" ht="13">
      <c r="A17" s="4"/>
      <c r="B17" s="47"/>
      <c r="C17" s="4"/>
      <c r="E17" s="64"/>
      <c r="F17" s="4"/>
      <c r="G17" s="4"/>
    </row>
    <row r="18" spans="1:8" ht="13">
      <c r="A18" s="4" t="s">
        <v>450</v>
      </c>
      <c r="B18" s="84">
        <f>10*50+0.9*E15</f>
        <v>2136.7748750000001</v>
      </c>
      <c r="C18" s="4" t="s">
        <v>158</v>
      </c>
      <c r="E18" s="64">
        <f t="shared" ref="E18:E19" si="1">B18*3600/1000</f>
        <v>7692.3895499999999</v>
      </c>
      <c r="F18" s="4" t="s">
        <v>451</v>
      </c>
      <c r="G18" s="4" t="s">
        <v>452</v>
      </c>
    </row>
    <row r="19" spans="1:8" ht="13">
      <c r="A19" s="4" t="s">
        <v>453</v>
      </c>
      <c r="B19" s="84">
        <f>B10*3.8+0.9*E16</f>
        <v>83592.725012499999</v>
      </c>
      <c r="C19" s="4" t="s">
        <v>158</v>
      </c>
      <c r="E19" s="64">
        <f t="shared" si="1"/>
        <v>300933.81004499999</v>
      </c>
      <c r="F19" s="4" t="s">
        <v>451</v>
      </c>
      <c r="G19" s="4" t="s">
        <v>454</v>
      </c>
    </row>
    <row r="20" spans="1:8" ht="13">
      <c r="A20" s="4"/>
      <c r="B20" s="47"/>
      <c r="C20" s="4"/>
      <c r="E20" s="64"/>
      <c r="F20" s="4"/>
      <c r="G20" s="4"/>
    </row>
    <row r="21" spans="1:8" ht="13">
      <c r="A21" s="4"/>
      <c r="B21" s="47"/>
      <c r="C21" s="4"/>
      <c r="E21" s="64"/>
      <c r="F21" s="4"/>
      <c r="G21" s="4"/>
    </row>
    <row r="22" spans="1:8" ht="13">
      <c r="A22" s="4" t="s">
        <v>296</v>
      </c>
      <c r="B22" s="88">
        <f>(E18+E19)/E8</f>
        <v>0.61834786993425861</v>
      </c>
      <c r="C22" s="4" t="s">
        <v>161</v>
      </c>
      <c r="E22" s="64" t="e">
        <f>B22*E8*1000/3600/(B10+#REF!)</f>
        <v>#REF!</v>
      </c>
      <c r="F22" s="4" t="s">
        <v>297</v>
      </c>
      <c r="G22" s="4" t="s">
        <v>298</v>
      </c>
    </row>
    <row r="23" spans="1:8" ht="13">
      <c r="A23" s="4" t="s">
        <v>299</v>
      </c>
      <c r="B23" s="4">
        <v>0.32</v>
      </c>
      <c r="C23" s="4" t="s">
        <v>161</v>
      </c>
      <c r="G23" s="4" t="s">
        <v>300</v>
      </c>
    </row>
    <row r="24" spans="1:8" ht="13">
      <c r="A24" s="4" t="s">
        <v>301</v>
      </c>
      <c r="B24" s="4">
        <v>0.3</v>
      </c>
      <c r="C24" s="4" t="s">
        <v>161</v>
      </c>
      <c r="G24" s="4" t="s">
        <v>302</v>
      </c>
    </row>
    <row r="25" spans="1:8" ht="13">
      <c r="A25" s="4" t="s">
        <v>303</v>
      </c>
      <c r="B25" s="4">
        <v>0</v>
      </c>
      <c r="C25" s="4" t="s">
        <v>161</v>
      </c>
      <c r="G25" s="4" t="s">
        <v>304</v>
      </c>
    </row>
    <row r="26" spans="1:8" ht="13">
      <c r="A26" s="4" t="s">
        <v>305</v>
      </c>
      <c r="B26" s="65">
        <f>SUM(B22:B25)</f>
        <v>1.2383478699342587</v>
      </c>
      <c r="C26" s="4" t="s">
        <v>161</v>
      </c>
    </row>
    <row r="28" spans="1:8" ht="13">
      <c r="A28" s="14" t="s">
        <v>306</v>
      </c>
      <c r="B28" s="15"/>
      <c r="C28" s="15"/>
      <c r="D28" s="15"/>
      <c r="E28" s="15"/>
      <c r="F28" s="15"/>
      <c r="G28" s="15"/>
      <c r="H28" s="15"/>
    </row>
    <row r="29" spans="1:8" ht="13">
      <c r="A29" s="4"/>
      <c r="B29" s="4"/>
      <c r="C29" s="4"/>
      <c r="G29" s="4"/>
    </row>
    <row r="30" spans="1:8" ht="13">
      <c r="A30" s="4" t="s">
        <v>455</v>
      </c>
      <c r="B30" s="47">
        <v>50</v>
      </c>
      <c r="C30" s="4" t="s">
        <v>308</v>
      </c>
      <c r="G30" s="4" t="s">
        <v>456</v>
      </c>
    </row>
    <row r="31" spans="1:8" ht="13">
      <c r="A31" s="4" t="s">
        <v>310</v>
      </c>
      <c r="B31" s="46">
        <v>0.15</v>
      </c>
      <c r="C31" s="4"/>
      <c r="G31" s="4" t="s">
        <v>457</v>
      </c>
    </row>
    <row r="32" spans="1:8" ht="13">
      <c r="A32" s="4" t="s">
        <v>458</v>
      </c>
      <c r="B32" s="64">
        <f>B30*(1-B31)</f>
        <v>42.5</v>
      </c>
      <c r="C32" s="4" t="s">
        <v>308</v>
      </c>
      <c r="G32" s="4"/>
    </row>
    <row r="33" spans="1:7" ht="13">
      <c r="A33" s="4" t="s">
        <v>459</v>
      </c>
      <c r="B33" s="71">
        <v>1E-3</v>
      </c>
      <c r="C33" s="4"/>
      <c r="G33" s="4"/>
    </row>
    <row r="34" spans="1:7" ht="13">
      <c r="A34" s="4" t="s">
        <v>460</v>
      </c>
      <c r="B34" s="64">
        <f>B33*B10*B32</f>
        <v>815.9575000000001</v>
      </c>
      <c r="C34" s="4"/>
      <c r="G34" s="4"/>
    </row>
    <row r="35" spans="1:7" ht="13">
      <c r="A35" s="4"/>
      <c r="B35" s="65"/>
      <c r="C35" s="4"/>
      <c r="G35" s="4"/>
    </row>
    <row r="36" spans="1:7" ht="13">
      <c r="A36" s="4" t="s">
        <v>313</v>
      </c>
      <c r="B36" s="70">
        <f>B34/B$26/E$8*(1-(1/B$26/E$13)*(1-EXP(-B$26*E$13)))</f>
        <v>8.3190975656010626E-4</v>
      </c>
      <c r="C36" s="4" t="s">
        <v>314</v>
      </c>
      <c r="G36" s="4" t="s">
        <v>315</v>
      </c>
    </row>
    <row r="38" spans="1:7" ht="13">
      <c r="A38" s="4" t="s">
        <v>316</v>
      </c>
      <c r="B38" s="46">
        <f>B31</f>
        <v>0.15</v>
      </c>
      <c r="C38" s="4"/>
      <c r="G38" s="4" t="s">
        <v>311</v>
      </c>
    </row>
    <row r="39" spans="1:7" ht="13">
      <c r="A39" s="4" t="s">
        <v>325</v>
      </c>
      <c r="B39" s="70">
        <f>B36*B11*E$13*(1-B38)</f>
        <v>1.2728219275369625E-3</v>
      </c>
      <c r="C39" s="4" t="s">
        <v>318</v>
      </c>
    </row>
    <row r="40" spans="1:7" ht="13">
      <c r="A40" s="67" t="s">
        <v>319</v>
      </c>
      <c r="B40" s="68">
        <f>1-EXP(-B39)</f>
        <v>1.2720122332759987E-3</v>
      </c>
      <c r="G40" s="4" t="s">
        <v>386</v>
      </c>
    </row>
    <row r="41" spans="1:7" ht="13">
      <c r="A41" s="67" t="s">
        <v>321</v>
      </c>
      <c r="B41" s="73">
        <f>B$10*B40</f>
        <v>24.421362866665898</v>
      </c>
    </row>
  </sheetData>
  <hyperlinks>
    <hyperlink ref="G7" r:id="rId1" xr:uid="{00000000-0004-0000-0900-000000000000}"/>
    <hyperlink ref="G10" r:id="rId2" xr:uid="{00000000-0004-0000-09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92"/>
  <sheetViews>
    <sheetView workbookViewId="0"/>
  </sheetViews>
  <sheetFormatPr baseColWidth="10" defaultColWidth="14.5" defaultRowHeight="15.75" customHeight="1"/>
  <cols>
    <col min="1" max="1" width="8.83203125" customWidth="1"/>
    <col min="2" max="2" width="121.5" customWidth="1"/>
  </cols>
  <sheetData>
    <row r="1" spans="1:2" ht="8.25" customHeight="1">
      <c r="A1" s="1"/>
      <c r="B1" s="52"/>
    </row>
    <row r="2" spans="1:2" ht="22.5" customHeight="1">
      <c r="A2" s="2" t="s">
        <v>203</v>
      </c>
      <c r="B2" s="53"/>
    </row>
    <row r="3" spans="1:2" ht="13">
      <c r="B3" s="54"/>
    </row>
    <row r="4" spans="1:2" ht="13">
      <c r="A4" s="14" t="s">
        <v>204</v>
      </c>
      <c r="B4" s="15"/>
    </row>
    <row r="5" spans="1:2" ht="13">
      <c r="A5" s="21"/>
      <c r="B5" s="54"/>
    </row>
    <row r="6" spans="1:2" ht="13">
      <c r="A6" s="21" t="s">
        <v>205</v>
      </c>
      <c r="B6" s="54"/>
    </row>
    <row r="7" spans="1:2" ht="14">
      <c r="B7" s="55" t="s">
        <v>206</v>
      </c>
    </row>
    <row r="8" spans="1:2" ht="28">
      <c r="B8" s="55" t="s">
        <v>207</v>
      </c>
    </row>
    <row r="10" spans="1:2" ht="13">
      <c r="A10" s="21" t="s">
        <v>208</v>
      </c>
      <c r="B10" s="54"/>
    </row>
    <row r="11" spans="1:2" ht="28">
      <c r="A11" s="21"/>
      <c r="B11" s="56" t="s">
        <v>209</v>
      </c>
    </row>
    <row r="12" spans="1:2" ht="14">
      <c r="A12" s="21"/>
      <c r="B12" s="56" t="s">
        <v>210</v>
      </c>
    </row>
    <row r="13" spans="1:2" ht="13">
      <c r="A13" s="21"/>
      <c r="B13" s="54"/>
    </row>
    <row r="14" spans="1:2" ht="13">
      <c r="A14" s="21" t="s">
        <v>211</v>
      </c>
      <c r="B14" s="54"/>
    </row>
    <row r="15" spans="1:2" ht="42">
      <c r="A15" s="21"/>
      <c r="B15" s="17" t="s">
        <v>212</v>
      </c>
    </row>
    <row r="16" spans="1:2" ht="13">
      <c r="A16" s="21"/>
      <c r="B16" s="54"/>
    </row>
    <row r="17" spans="1:2" ht="13">
      <c r="A17" s="132" t="s">
        <v>213</v>
      </c>
      <c r="B17" s="130"/>
    </row>
    <row r="18" spans="1:2" ht="28">
      <c r="A18" s="21"/>
      <c r="B18" s="17" t="s">
        <v>214</v>
      </c>
    </row>
    <row r="19" spans="1:2" ht="42">
      <c r="A19" s="21"/>
      <c r="B19" s="17" t="s">
        <v>215</v>
      </c>
    </row>
    <row r="20" spans="1:2" ht="13">
      <c r="A20" s="21"/>
      <c r="B20" s="54"/>
    </row>
    <row r="21" spans="1:2" ht="13">
      <c r="A21" s="21" t="s">
        <v>216</v>
      </c>
      <c r="B21" s="54"/>
    </row>
    <row r="22" spans="1:2" ht="28">
      <c r="B22" s="55" t="s">
        <v>217</v>
      </c>
    </row>
    <row r="23" spans="1:2" ht="84">
      <c r="B23" s="17" t="s">
        <v>218</v>
      </c>
    </row>
    <row r="24" spans="1:2" ht="13">
      <c r="B24" s="54"/>
    </row>
    <row r="25" spans="1:2" ht="13">
      <c r="A25" s="21" t="s">
        <v>219</v>
      </c>
      <c r="B25" s="54"/>
    </row>
    <row r="26" spans="1:2" ht="70">
      <c r="B26" s="17" t="s">
        <v>220</v>
      </c>
    </row>
    <row r="27" spans="1:2" ht="13">
      <c r="A27" s="21"/>
      <c r="B27" s="54"/>
    </row>
    <row r="28" spans="1:2" ht="13">
      <c r="A28" s="21" t="s">
        <v>221</v>
      </c>
      <c r="B28" s="54"/>
    </row>
    <row r="29" spans="1:2" ht="14">
      <c r="B29" s="17" t="s">
        <v>222</v>
      </c>
    </row>
    <row r="30" spans="1:2" ht="14">
      <c r="B30" s="17" t="s">
        <v>223</v>
      </c>
    </row>
    <row r="31" spans="1:2" ht="28">
      <c r="B31" s="17" t="s">
        <v>224</v>
      </c>
    </row>
    <row r="32" spans="1:2" ht="13">
      <c r="A32" s="21"/>
      <c r="B32" s="54"/>
    </row>
    <row r="33" spans="1:2" ht="13">
      <c r="A33" s="21" t="s">
        <v>225</v>
      </c>
      <c r="B33" s="54"/>
    </row>
    <row r="34" spans="1:2" ht="84">
      <c r="B34" s="17" t="s">
        <v>226</v>
      </c>
    </row>
    <row r="35" spans="1:2" ht="13">
      <c r="A35" s="21"/>
      <c r="B35" s="54"/>
    </row>
    <row r="36" spans="1:2" ht="13">
      <c r="A36" s="21" t="s">
        <v>227</v>
      </c>
      <c r="B36" s="54"/>
    </row>
    <row r="37" spans="1:2" ht="14">
      <c r="A37" s="21"/>
      <c r="B37" s="17" t="s">
        <v>228</v>
      </c>
    </row>
    <row r="38" spans="1:2" ht="14">
      <c r="A38" s="21"/>
      <c r="B38" s="55" t="s">
        <v>229</v>
      </c>
    </row>
    <row r="39" spans="1:2" ht="13">
      <c r="A39" s="21"/>
    </row>
    <row r="40" spans="1:2" ht="13">
      <c r="A40" s="14" t="s">
        <v>230</v>
      </c>
      <c r="B40" s="15"/>
    </row>
    <row r="41" spans="1:2" ht="13">
      <c r="A41" s="21"/>
      <c r="B41" s="54"/>
    </row>
    <row r="42" spans="1:2" ht="13">
      <c r="A42" s="21" t="s">
        <v>231</v>
      </c>
      <c r="B42" s="54"/>
    </row>
    <row r="43" spans="1:2" ht="56">
      <c r="A43" s="21"/>
      <c r="B43" s="58" t="s">
        <v>232</v>
      </c>
    </row>
    <row r="44" spans="1:2" ht="28">
      <c r="A44" s="21"/>
      <c r="B44" s="55" t="s">
        <v>233</v>
      </c>
    </row>
    <row r="45" spans="1:2" ht="28">
      <c r="A45" s="21"/>
      <c r="B45" s="55" t="s">
        <v>234</v>
      </c>
    </row>
    <row r="46" spans="1:2" ht="14">
      <c r="A46" s="21"/>
      <c r="B46" s="17" t="s">
        <v>235</v>
      </c>
    </row>
    <row r="47" spans="1:2" ht="28">
      <c r="A47" s="21"/>
      <c r="B47" s="17" t="s">
        <v>236</v>
      </c>
    </row>
    <row r="48" spans="1:2" ht="13">
      <c r="A48" s="21"/>
      <c r="B48" s="54"/>
    </row>
    <row r="49" spans="1:2" ht="13">
      <c r="A49" s="21" t="s">
        <v>237</v>
      </c>
      <c r="B49" s="54"/>
    </row>
    <row r="50" spans="1:2" ht="14">
      <c r="B50" s="59" t="s">
        <v>238</v>
      </c>
    </row>
    <row r="51" spans="1:2" ht="28">
      <c r="B51" s="56" t="s">
        <v>239</v>
      </c>
    </row>
    <row r="52" spans="1:2" ht="28">
      <c r="B52" s="56" t="s">
        <v>240</v>
      </c>
    </row>
    <row r="53" spans="1:2" ht="28">
      <c r="B53" s="56" t="s">
        <v>241</v>
      </c>
    </row>
    <row r="54" spans="1:2" ht="14">
      <c r="B54" s="56" t="s">
        <v>242</v>
      </c>
    </row>
    <row r="55" spans="1:2" ht="42">
      <c r="B55" s="59" t="s">
        <v>243</v>
      </c>
    </row>
    <row r="56" spans="1:2" ht="28">
      <c r="B56" s="56" t="s">
        <v>244</v>
      </c>
    </row>
    <row r="57" spans="1:2" ht="14">
      <c r="B57" s="56" t="s">
        <v>245</v>
      </c>
    </row>
    <row r="58" spans="1:2" ht="14">
      <c r="B58" s="17" t="s">
        <v>246</v>
      </c>
    </row>
    <row r="59" spans="1:2" ht="13">
      <c r="B59" s="54"/>
    </row>
    <row r="60" spans="1:2" ht="13">
      <c r="A60" s="14" t="s">
        <v>247</v>
      </c>
      <c r="B60" s="15"/>
    </row>
    <row r="61" spans="1:2" ht="13">
      <c r="A61" s="21"/>
      <c r="B61" s="54"/>
    </row>
    <row r="62" spans="1:2" ht="13">
      <c r="A62" s="21" t="s">
        <v>248</v>
      </c>
      <c r="B62" s="54"/>
    </row>
    <row r="63" spans="1:2" ht="14">
      <c r="A63" s="21"/>
      <c r="B63" s="55" t="s">
        <v>249</v>
      </c>
    </row>
    <row r="64" spans="1:2" ht="13">
      <c r="A64" s="21"/>
      <c r="B64" s="54"/>
    </row>
    <row r="65" spans="1:2" ht="13">
      <c r="A65" s="21" t="s">
        <v>250</v>
      </c>
      <c r="B65" s="54"/>
    </row>
    <row r="66" spans="1:2" ht="14">
      <c r="A66" s="21"/>
      <c r="B66" s="17" t="s">
        <v>251</v>
      </c>
    </row>
    <row r="67" spans="1:2" ht="14">
      <c r="A67" s="21"/>
      <c r="B67" s="55" t="s">
        <v>252</v>
      </c>
    </row>
    <row r="68" spans="1:2" ht="42">
      <c r="A68" s="21"/>
      <c r="B68" s="55" t="s">
        <v>253</v>
      </c>
    </row>
    <row r="69" spans="1:2" ht="13">
      <c r="A69" s="21"/>
      <c r="B69" s="54"/>
    </row>
    <row r="70" spans="1:2" ht="13">
      <c r="A70" s="21" t="s">
        <v>254</v>
      </c>
      <c r="B70" s="54"/>
    </row>
    <row r="71" spans="1:2" ht="56">
      <c r="A71" s="21"/>
      <c r="B71" s="55" t="s">
        <v>255</v>
      </c>
    </row>
    <row r="72" spans="1:2" ht="42">
      <c r="A72" s="21"/>
      <c r="B72" s="55" t="s">
        <v>256</v>
      </c>
    </row>
    <row r="73" spans="1:2" ht="13">
      <c r="A73" s="21"/>
      <c r="B73" s="54"/>
    </row>
    <row r="74" spans="1:2" ht="13">
      <c r="A74" s="14" t="s">
        <v>257</v>
      </c>
      <c r="B74" s="15"/>
    </row>
    <row r="75" spans="1:2" ht="13">
      <c r="A75" s="57"/>
      <c r="B75" s="57"/>
    </row>
    <row r="76" spans="1:2" ht="13">
      <c r="A76" s="21" t="s">
        <v>258</v>
      </c>
      <c r="B76" s="54"/>
    </row>
    <row r="77" spans="1:2" ht="42">
      <c r="B77" s="55" t="s">
        <v>259</v>
      </c>
    </row>
    <row r="78" spans="1:2" ht="28">
      <c r="B78" s="17" t="s">
        <v>260</v>
      </c>
    </row>
    <row r="79" spans="1:2" ht="13">
      <c r="A79" s="57"/>
      <c r="B79" s="57"/>
    </row>
    <row r="80" spans="1:2" ht="13">
      <c r="A80" s="132" t="s">
        <v>261</v>
      </c>
      <c r="B80" s="130"/>
    </row>
    <row r="81" spans="1:2" ht="84">
      <c r="A81" s="57"/>
      <c r="B81" s="55" t="s">
        <v>262</v>
      </c>
    </row>
    <row r="82" spans="1:2" ht="112">
      <c r="A82" s="57"/>
      <c r="B82" s="55" t="s">
        <v>263</v>
      </c>
    </row>
    <row r="83" spans="1:2" ht="13">
      <c r="A83" s="57"/>
      <c r="B83" s="57"/>
    </row>
    <row r="84" spans="1:2" ht="13">
      <c r="A84" s="132" t="s">
        <v>264</v>
      </c>
      <c r="B84" s="130"/>
    </row>
    <row r="85" spans="1:2" ht="56">
      <c r="B85" s="60" t="s">
        <v>265</v>
      </c>
    </row>
    <row r="86" spans="1:2" ht="70">
      <c r="B86" s="61" t="s">
        <v>266</v>
      </c>
    </row>
    <row r="87" spans="1:2" ht="28">
      <c r="A87" s="21"/>
      <c r="B87" s="17" t="s">
        <v>267</v>
      </c>
    </row>
    <row r="88" spans="1:2" ht="28">
      <c r="A88" s="21"/>
      <c r="B88" s="17" t="s">
        <v>268</v>
      </c>
    </row>
    <row r="89" spans="1:2" ht="13">
      <c r="B89" s="54"/>
    </row>
    <row r="90" spans="1:2" ht="13">
      <c r="A90" s="21" t="s">
        <v>269</v>
      </c>
      <c r="B90" s="54"/>
    </row>
    <row r="91" spans="1:2" ht="14">
      <c r="B91" s="17" t="s">
        <v>270</v>
      </c>
    </row>
    <row r="92" spans="1:2" ht="13">
      <c r="B92" s="54"/>
    </row>
  </sheetData>
  <mergeCells count="3">
    <mergeCell ref="A17:B17"/>
    <mergeCell ref="A80:B80"/>
    <mergeCell ref="A84:B84"/>
  </mergeCells>
  <hyperlinks>
    <hyperlink ref="B7" r:id="rId1" xr:uid="{00000000-0004-0000-0100-000000000000}"/>
    <hyperlink ref="B8" r:id="rId2" xr:uid="{00000000-0004-0000-0100-000001000000}"/>
    <hyperlink ref="B22" r:id="rId3" xr:uid="{00000000-0004-0000-0100-000002000000}"/>
    <hyperlink ref="B38" r:id="rId4" xr:uid="{00000000-0004-0000-0100-000003000000}"/>
    <hyperlink ref="B44" r:id="rId5" xr:uid="{00000000-0004-0000-0100-000004000000}"/>
    <hyperlink ref="B45" r:id="rId6" xr:uid="{00000000-0004-0000-0100-000005000000}"/>
    <hyperlink ref="B50" r:id="rId7" xr:uid="{00000000-0004-0000-0100-000006000000}"/>
    <hyperlink ref="B55" r:id="rId8" xr:uid="{00000000-0004-0000-0100-000007000000}"/>
    <hyperlink ref="B63" r:id="rId9" xr:uid="{00000000-0004-0000-0100-000008000000}"/>
    <hyperlink ref="B67" r:id="rId10" xr:uid="{00000000-0004-0000-0100-000009000000}"/>
    <hyperlink ref="B68" r:id="rId11" xr:uid="{00000000-0004-0000-0100-00000A000000}"/>
    <hyperlink ref="B71" r:id="rId12" xr:uid="{00000000-0004-0000-0100-00000B000000}"/>
    <hyperlink ref="B72" r:id="rId13" xr:uid="{00000000-0004-0000-0100-00000C000000}"/>
    <hyperlink ref="B77" r:id="rId14" xr:uid="{00000000-0004-0000-0100-00000D000000}"/>
    <hyperlink ref="B81" r:id="rId15" xr:uid="{00000000-0004-0000-0100-00000E000000}"/>
    <hyperlink ref="B82" r:id="rId16" xr:uid="{00000000-0004-0000-0100-00000F000000}"/>
    <hyperlink ref="B86" r:id="rId17" xr:uid="{00000000-0004-0000-0100-00001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76"/>
  <sheetViews>
    <sheetView tabSelected="1" zoomScale="139" workbookViewId="0">
      <selection activeCell="B50" sqref="B50"/>
    </sheetView>
  </sheetViews>
  <sheetFormatPr baseColWidth="10" defaultColWidth="14.5" defaultRowHeight="15.75" customHeight="1"/>
  <cols>
    <col min="1" max="1" width="44.6640625" customWidth="1"/>
    <col min="2" max="2" width="19.6640625" customWidth="1"/>
    <col min="3" max="3" width="15" customWidth="1"/>
    <col min="4" max="4" width="5.5" customWidth="1"/>
    <col min="7" max="7" width="84.83203125" customWidth="1"/>
  </cols>
  <sheetData>
    <row r="1" spans="1:8" ht="8.25" customHeight="1">
      <c r="A1" s="1"/>
      <c r="B1" s="1"/>
      <c r="C1" s="1"/>
      <c r="D1" s="1"/>
      <c r="E1" s="1"/>
      <c r="F1" s="1"/>
      <c r="G1" s="1"/>
      <c r="H1" s="1"/>
    </row>
    <row r="2" spans="1:8" ht="22.5" customHeight="1">
      <c r="A2" s="2" t="s">
        <v>271</v>
      </c>
      <c r="B2" s="3"/>
      <c r="C2" s="3"/>
      <c r="D2" s="3"/>
      <c r="E2" s="3"/>
      <c r="F2" s="3"/>
      <c r="G2" s="3"/>
      <c r="H2" s="3"/>
    </row>
    <row r="4" spans="1:8" ht="13">
      <c r="A4" s="14" t="s">
        <v>272</v>
      </c>
      <c r="B4" s="15"/>
      <c r="C4" s="15"/>
      <c r="D4" s="15"/>
      <c r="E4" s="15"/>
      <c r="F4" s="15"/>
      <c r="G4" s="15"/>
      <c r="H4" s="15"/>
    </row>
    <row r="5" spans="1:8" ht="13">
      <c r="B5" s="21" t="s">
        <v>273</v>
      </c>
      <c r="E5" s="21" t="s">
        <v>274</v>
      </c>
      <c r="G5" s="21" t="s">
        <v>275</v>
      </c>
    </row>
    <row r="6" spans="1:8" ht="13">
      <c r="A6" s="4" t="s">
        <v>147</v>
      </c>
      <c r="B6" s="47">
        <v>900</v>
      </c>
      <c r="C6" s="4" t="s">
        <v>276</v>
      </c>
      <c r="D6" s="62" t="s">
        <v>277</v>
      </c>
      <c r="E6" s="63">
        <f>B6*0.305^2</f>
        <v>83.722499999999997</v>
      </c>
      <c r="F6" s="4" t="s">
        <v>148</v>
      </c>
      <c r="G6" s="4" t="s">
        <v>278</v>
      </c>
    </row>
    <row r="7" spans="1:8" ht="13">
      <c r="A7" s="4" t="s">
        <v>279</v>
      </c>
      <c r="B7" s="126">
        <v>10</v>
      </c>
      <c r="C7" s="4" t="s">
        <v>280</v>
      </c>
      <c r="D7" s="62" t="s">
        <v>277</v>
      </c>
      <c r="E7" s="63">
        <f>B7*0.305</f>
        <v>3.05</v>
      </c>
      <c r="F7" s="4" t="s">
        <v>151</v>
      </c>
      <c r="G7" s="4" t="s">
        <v>278</v>
      </c>
    </row>
    <row r="8" spans="1:8" ht="13">
      <c r="A8" s="4" t="s">
        <v>281</v>
      </c>
      <c r="E8" s="64">
        <f>E7*E6</f>
        <v>255.35362499999997</v>
      </c>
      <c r="F8" s="4" t="s">
        <v>153</v>
      </c>
    </row>
    <row r="10" spans="1:8" ht="13">
      <c r="A10" s="4" t="s">
        <v>282</v>
      </c>
      <c r="B10" s="47">
        <v>1</v>
      </c>
      <c r="C10" s="4" t="s">
        <v>283</v>
      </c>
      <c r="G10" s="4" t="s">
        <v>278</v>
      </c>
    </row>
    <row r="11" spans="1:8" ht="13">
      <c r="A11" s="4" t="s">
        <v>284</v>
      </c>
      <c r="B11" s="23">
        <v>25</v>
      </c>
      <c r="C11" s="4" t="s">
        <v>285</v>
      </c>
      <c r="G11" s="4" t="s">
        <v>286</v>
      </c>
    </row>
    <row r="12" spans="1:8" ht="13">
      <c r="A12" s="4" t="s">
        <v>287</v>
      </c>
      <c r="B12" s="4">
        <v>1.1000000000000001</v>
      </c>
      <c r="C12" s="4" t="s">
        <v>288</v>
      </c>
      <c r="E12" s="65"/>
      <c r="F12" s="4"/>
      <c r="G12" s="4" t="s">
        <v>289</v>
      </c>
    </row>
    <row r="13" spans="1:8" ht="13">
      <c r="A13" s="4" t="s">
        <v>290</v>
      </c>
      <c r="B13" s="4">
        <v>0.8</v>
      </c>
      <c r="C13" s="4" t="s">
        <v>291</v>
      </c>
      <c r="E13" s="65"/>
      <c r="F13" s="4"/>
      <c r="G13" s="4" t="s">
        <v>292</v>
      </c>
    </row>
    <row r="14" spans="1:8" ht="13">
      <c r="A14" s="4"/>
      <c r="B14" s="4"/>
      <c r="C14" s="4"/>
      <c r="E14" s="65"/>
      <c r="F14" s="4"/>
      <c r="G14" s="4"/>
    </row>
    <row r="15" spans="1:8" ht="13">
      <c r="A15" s="4" t="s">
        <v>293</v>
      </c>
      <c r="B15" s="4">
        <v>165</v>
      </c>
      <c r="C15" s="4" t="s">
        <v>294</v>
      </c>
      <c r="E15" s="65">
        <f>B15/60</f>
        <v>2.75</v>
      </c>
      <c r="F15" s="4" t="s">
        <v>295</v>
      </c>
      <c r="G15" s="4" t="s">
        <v>278</v>
      </c>
    </row>
    <row r="17" spans="1:8" ht="13">
      <c r="A17" s="4" t="s">
        <v>296</v>
      </c>
      <c r="B17" s="125">
        <v>5.7</v>
      </c>
      <c r="C17" s="4" t="s">
        <v>161</v>
      </c>
      <c r="E17" s="63">
        <f>B17*E8*1000/3600/(B11+B10)</f>
        <v>15.55038100961538</v>
      </c>
      <c r="F17" s="4" t="s">
        <v>297</v>
      </c>
      <c r="G17" s="4" t="s">
        <v>298</v>
      </c>
    </row>
    <row r="18" spans="1:8" ht="13">
      <c r="A18" s="4" t="s">
        <v>299</v>
      </c>
      <c r="B18" s="4">
        <v>0.32</v>
      </c>
      <c r="C18" s="4" t="s">
        <v>161</v>
      </c>
      <c r="G18" s="4" t="s">
        <v>300</v>
      </c>
    </row>
    <row r="19" spans="1:8" ht="13">
      <c r="A19" s="4" t="s">
        <v>301</v>
      </c>
      <c r="B19" s="4">
        <v>0.3</v>
      </c>
      <c r="C19" s="4" t="s">
        <v>161</v>
      </c>
      <c r="G19" s="4" t="s">
        <v>302</v>
      </c>
    </row>
    <row r="20" spans="1:8" ht="13">
      <c r="A20" s="4" t="s">
        <v>303</v>
      </c>
      <c r="B20" s="4">
        <v>0</v>
      </c>
      <c r="C20" s="4" t="s">
        <v>161</v>
      </c>
      <c r="G20" s="4" t="s">
        <v>304</v>
      </c>
    </row>
    <row r="21" spans="1:8" ht="13">
      <c r="A21" s="4" t="s">
        <v>305</v>
      </c>
      <c r="B21" s="66">
        <f>SUM(B17:B20)</f>
        <v>6.32</v>
      </c>
      <c r="C21" s="4" t="s">
        <v>161</v>
      </c>
    </row>
    <row r="22" spans="1:8" s="90" customFormat="1" ht="13">
      <c r="A22" s="89"/>
      <c r="B22" s="66"/>
      <c r="C22" s="89"/>
    </row>
    <row r="23" spans="1:8" s="94" customFormat="1" ht="13">
      <c r="A23" s="66" t="s">
        <v>462</v>
      </c>
      <c r="B23" s="93">
        <v>3.0000000000000001E-3</v>
      </c>
      <c r="F23" s="66" t="s">
        <v>311</v>
      </c>
      <c r="G23" s="66" t="s">
        <v>463</v>
      </c>
    </row>
    <row r="24" spans="1:8" s="94" customFormat="1" ht="13">
      <c r="A24" s="66" t="s">
        <v>332</v>
      </c>
      <c r="B24" s="93">
        <v>3.0000000000000001E-3</v>
      </c>
      <c r="F24" s="66" t="s">
        <v>311</v>
      </c>
    </row>
    <row r="25" spans="1:8" s="94" customFormat="1" ht="13">
      <c r="A25" s="66" t="s">
        <v>464</v>
      </c>
      <c r="B25" s="23">
        <v>15</v>
      </c>
      <c r="F25" s="66"/>
    </row>
    <row r="26" spans="1:8" s="90" customFormat="1" ht="13">
      <c r="A26" s="89"/>
      <c r="B26" s="66"/>
      <c r="C26" s="89"/>
    </row>
    <row r="28" spans="1:8" ht="13">
      <c r="A28" s="14" t="s">
        <v>306</v>
      </c>
      <c r="B28" s="15"/>
      <c r="C28" s="15"/>
      <c r="D28" s="15"/>
      <c r="E28" s="15"/>
      <c r="F28" s="15"/>
      <c r="G28" s="15"/>
      <c r="H28" s="15"/>
    </row>
    <row r="29" spans="1:8" ht="13">
      <c r="A29" s="4"/>
      <c r="B29" s="4"/>
      <c r="C29" s="4"/>
      <c r="G29" s="4"/>
    </row>
    <row r="30" spans="1:8" ht="13">
      <c r="A30" s="4" t="s">
        <v>307</v>
      </c>
      <c r="B30" s="47">
        <v>135</v>
      </c>
      <c r="C30" s="4" t="s">
        <v>308</v>
      </c>
      <c r="G30" s="4" t="s">
        <v>309</v>
      </c>
    </row>
    <row r="31" spans="1:8" ht="13">
      <c r="A31" s="4" t="s">
        <v>310</v>
      </c>
      <c r="B31" s="46">
        <v>0.5</v>
      </c>
      <c r="C31" s="4"/>
      <c r="G31" s="4" t="s">
        <v>311</v>
      </c>
    </row>
    <row r="32" spans="1:8" ht="13">
      <c r="A32" s="4" t="s">
        <v>312</v>
      </c>
      <c r="B32" s="66">
        <f>B30*(1-B31)</f>
        <v>67.5</v>
      </c>
      <c r="C32" s="4" t="s">
        <v>308</v>
      </c>
      <c r="G32" s="4"/>
    </row>
    <row r="33" spans="1:8" ht="13">
      <c r="A33" s="4"/>
      <c r="B33" s="65"/>
      <c r="C33" s="4"/>
      <c r="G33" s="4"/>
    </row>
    <row r="34" spans="1:8" ht="13">
      <c r="A34" s="4" t="s">
        <v>313</v>
      </c>
      <c r="B34" s="65">
        <f>B32/B$21/E$8*(1-(1/B$21/E$15)*(1-EXP(-B$21*E$15)))</f>
        <v>3.9419289583071747E-2</v>
      </c>
      <c r="C34" s="4" t="s">
        <v>314</v>
      </c>
      <c r="G34" s="4" t="s">
        <v>315</v>
      </c>
    </row>
    <row r="36" spans="1:8" ht="13">
      <c r="A36" s="4" t="s">
        <v>316</v>
      </c>
      <c r="B36" s="46">
        <v>0.3</v>
      </c>
      <c r="C36" s="4"/>
      <c r="G36" s="4" t="s">
        <v>311</v>
      </c>
    </row>
    <row r="37" spans="1:8" ht="13">
      <c r="A37" s="4" t="s">
        <v>317</v>
      </c>
      <c r="B37" s="65">
        <f>B34*B$13*E$15*(1-B36)</f>
        <v>6.0705705957930484E-2</v>
      </c>
      <c r="C37" s="4" t="s">
        <v>318</v>
      </c>
    </row>
    <row r="38" spans="1:8" ht="13">
      <c r="A38" s="67" t="s">
        <v>319</v>
      </c>
      <c r="B38" s="68">
        <f>1-EXP(-B37)</f>
        <v>5.8899840804014558E-2</v>
      </c>
      <c r="G38" s="4" t="s">
        <v>320</v>
      </c>
    </row>
    <row r="39" spans="1:8" ht="13">
      <c r="A39" s="67" t="s">
        <v>321</v>
      </c>
      <c r="B39" s="69">
        <f>B$11*B38</f>
        <v>1.4724960201003641</v>
      </c>
    </row>
    <row r="41" spans="1:8" ht="13">
      <c r="A41" s="14" t="s">
        <v>322</v>
      </c>
      <c r="B41" s="15"/>
      <c r="C41" s="15"/>
      <c r="D41" s="15"/>
      <c r="E41" s="15"/>
      <c r="F41" s="15"/>
      <c r="G41" s="15"/>
      <c r="H41" s="15"/>
    </row>
    <row r="43" spans="1:8" ht="13">
      <c r="A43" s="4" t="s">
        <v>323</v>
      </c>
      <c r="B43" s="47">
        <v>16</v>
      </c>
      <c r="C43" s="4" t="s">
        <v>161</v>
      </c>
      <c r="G43" s="4" t="str">
        <f>G30</f>
        <v>Estimated from Miller (2020) and Buonnano et al. (2020a, 2020b). See Readme sheet</v>
      </c>
    </row>
    <row r="44" spans="1:8" ht="13">
      <c r="A44" s="4" t="s">
        <v>310</v>
      </c>
      <c r="B44" s="46">
        <v>0.5</v>
      </c>
      <c r="G44" s="4" t="s">
        <v>324</v>
      </c>
    </row>
    <row r="45" spans="1:8" ht="13">
      <c r="A45" s="4" t="s">
        <v>312</v>
      </c>
      <c r="B45" s="66">
        <f>B43*(1-B44)</f>
        <v>8</v>
      </c>
      <c r="C45" s="4" t="s">
        <v>308</v>
      </c>
    </row>
    <row r="47" spans="1:8" ht="13">
      <c r="A47" s="4" t="s">
        <v>313</v>
      </c>
      <c r="B47" s="70">
        <f>B45/B$21/E$8*(1-(1/B$21/E$15)*(1-EXP(-B$21*E$15)))</f>
        <v>4.6719158024381329E-3</v>
      </c>
      <c r="C47" s="4" t="s">
        <v>314</v>
      </c>
      <c r="G47" s="4" t="s">
        <v>315</v>
      </c>
    </row>
    <row r="49" spans="1:8" ht="13">
      <c r="A49" s="4" t="s">
        <v>316</v>
      </c>
      <c r="B49" s="46">
        <v>0.3</v>
      </c>
      <c r="C49" s="4"/>
      <c r="G49" s="66" t="str">
        <f>G36</f>
        <v>See readme sheet</v>
      </c>
    </row>
    <row r="50" spans="1:8" ht="13">
      <c r="A50" s="4" t="s">
        <v>325</v>
      </c>
      <c r="B50" s="70">
        <f>B47*B$13*E$15*(1-B49)</f>
        <v>7.1947503357547241E-3</v>
      </c>
      <c r="C50" s="4" t="s">
        <v>318</v>
      </c>
    </row>
    <row r="51" spans="1:8" ht="13">
      <c r="A51" s="67" t="s">
        <v>326</v>
      </c>
      <c r="B51" s="48">
        <f>1-EXP(-B50)</f>
        <v>7.1689300800980016E-3</v>
      </c>
      <c r="G51" s="4" t="s">
        <v>327</v>
      </c>
    </row>
    <row r="52" spans="1:8" ht="13">
      <c r="A52" s="67" t="s">
        <v>321</v>
      </c>
      <c r="B52" s="69">
        <f>B$11*B51</f>
        <v>0.17922325200245004</v>
      </c>
      <c r="G52" s="4" t="s">
        <v>328</v>
      </c>
    </row>
    <row r="53" spans="1:8" ht="15.75" customHeight="1">
      <c r="A53" s="87"/>
      <c r="B53" s="112"/>
    </row>
    <row r="56" spans="1:8" s="94" customFormat="1" ht="13">
      <c r="A56" s="95" t="s">
        <v>514</v>
      </c>
      <c r="B56" s="15"/>
      <c r="C56" s="15"/>
      <c r="D56" s="15"/>
      <c r="E56" s="15"/>
      <c r="F56" s="15"/>
      <c r="G56" s="15"/>
      <c r="H56" s="15"/>
    </row>
    <row r="57" spans="1:8" s="94" customFormat="1" ht="15.75" customHeight="1">
      <c r="D57" s="101"/>
      <c r="E57" s="113"/>
      <c r="F57" s="101"/>
    </row>
    <row r="58" spans="1:8" s="94" customFormat="1" ht="15.75" customHeight="1">
      <c r="A58" s="134" t="s">
        <v>515</v>
      </c>
      <c r="B58" s="134"/>
      <c r="C58" s="134"/>
      <c r="D58" s="134"/>
      <c r="E58" s="135"/>
      <c r="F58" s="134"/>
      <c r="G58" s="134"/>
      <c r="H58" s="134"/>
    </row>
    <row r="59" spans="1:8" s="94" customFormat="1" ht="15.75" customHeight="1">
      <c r="A59" s="123"/>
      <c r="B59" s="123"/>
      <c r="C59" s="124" t="s">
        <v>498</v>
      </c>
      <c r="D59" s="101"/>
      <c r="E59" s="114"/>
      <c r="F59" s="101"/>
    </row>
    <row r="60" spans="1:8" ht="15.75" customHeight="1">
      <c r="A60" s="118" t="s">
        <v>503</v>
      </c>
      <c r="B60" s="120">
        <f>B51</f>
        <v>7.1689300800980016E-3</v>
      </c>
      <c r="C60" s="115" t="s">
        <v>500</v>
      </c>
    </row>
    <row r="61" spans="1:8" ht="15.75" customHeight="1">
      <c r="A61" s="118" t="s">
        <v>504</v>
      </c>
      <c r="B61" s="120">
        <f>B11*B23</f>
        <v>7.4999999999999997E-2</v>
      </c>
      <c r="C61" s="107" t="s">
        <v>499</v>
      </c>
    </row>
    <row r="62" spans="1:8" ht="15.75" customHeight="1">
      <c r="A62" s="119" t="s">
        <v>507</v>
      </c>
      <c r="B62" s="121">
        <f>B60*B61</f>
        <v>5.376697560073501E-4</v>
      </c>
      <c r="C62" s="87" t="s">
        <v>516</v>
      </c>
    </row>
    <row r="63" spans="1:8" ht="15.75" customHeight="1">
      <c r="A63" s="118" t="s">
        <v>505</v>
      </c>
      <c r="B63" s="120">
        <f>B38</f>
        <v>5.8899840804014558E-2</v>
      </c>
      <c r="C63" s="87" t="s">
        <v>501</v>
      </c>
    </row>
    <row r="64" spans="1:8" ht="15.75" customHeight="1">
      <c r="A64" s="119" t="s">
        <v>506</v>
      </c>
      <c r="B64" s="122">
        <f>B10*B24</f>
        <v>3.0000000000000001E-3</v>
      </c>
      <c r="C64" s="87" t="s">
        <v>502</v>
      </c>
    </row>
    <row r="65" spans="1:8" ht="15.75" customHeight="1">
      <c r="A65" s="119" t="s">
        <v>508</v>
      </c>
      <c r="B65" s="121">
        <f>B63*B64</f>
        <v>1.7669952241204369E-4</v>
      </c>
      <c r="C65" s="87" t="s">
        <v>517</v>
      </c>
    </row>
    <row r="66" spans="1:8" ht="15.75" customHeight="1">
      <c r="A66" s="116" t="s">
        <v>509</v>
      </c>
      <c r="B66" s="117">
        <f>(B62+B65)*B25</f>
        <v>1.0715539176290905E-2</v>
      </c>
      <c r="C66" s="87" t="s">
        <v>518</v>
      </c>
    </row>
    <row r="68" spans="1:8" s="94" customFormat="1" ht="15.75" customHeight="1">
      <c r="A68" s="134" t="s">
        <v>529</v>
      </c>
      <c r="B68" s="134"/>
      <c r="C68" s="134"/>
      <c r="D68" s="134"/>
      <c r="E68" s="135"/>
      <c r="F68" s="134"/>
      <c r="G68" s="134"/>
      <c r="H68" s="134"/>
    </row>
    <row r="69" spans="1:8" ht="15.75" customHeight="1">
      <c r="C69" s="124" t="s">
        <v>498</v>
      </c>
    </row>
    <row r="70" spans="1:8" s="127" customFormat="1" ht="15.75" customHeight="1">
      <c r="A70" s="119" t="s">
        <v>522</v>
      </c>
      <c r="B70" s="121">
        <f>B62</f>
        <v>5.376697560073501E-4</v>
      </c>
      <c r="C70" s="87" t="s">
        <v>516</v>
      </c>
    </row>
    <row r="71" spans="1:8" s="127" customFormat="1" ht="15.75" customHeight="1">
      <c r="A71" s="119" t="s">
        <v>521</v>
      </c>
      <c r="B71" s="121">
        <f>B65</f>
        <v>1.7669952241204369E-4</v>
      </c>
      <c r="C71" s="87" t="s">
        <v>517</v>
      </c>
    </row>
    <row r="72" spans="1:8" ht="15.75" customHeight="1">
      <c r="A72" s="119" t="s">
        <v>520</v>
      </c>
      <c r="B72" s="122">
        <f>B70+B71</f>
        <v>7.1436927841939373E-4</v>
      </c>
      <c r="C72" s="87" t="s">
        <v>523</v>
      </c>
    </row>
    <row r="73" spans="1:8" ht="15.75" customHeight="1">
      <c r="A73" s="119" t="s">
        <v>519</v>
      </c>
      <c r="B73" s="122">
        <f>1-B72</f>
        <v>0.99928563072158061</v>
      </c>
      <c r="C73" s="87" t="s">
        <v>528</v>
      </c>
    </row>
    <row r="74" spans="1:8" ht="15.75" customHeight="1">
      <c r="A74" s="119" t="s">
        <v>524</v>
      </c>
      <c r="B74" s="122">
        <f>B73^B25</f>
        <v>0.98933787926803307</v>
      </c>
      <c r="C74" s="87" t="s">
        <v>526</v>
      </c>
    </row>
    <row r="75" spans="1:8" ht="15.75" customHeight="1">
      <c r="A75" s="116" t="s">
        <v>525</v>
      </c>
      <c r="B75" s="117">
        <f>1-B74</f>
        <v>1.0662120731966929E-2</v>
      </c>
      <c r="C75" s="87" t="s">
        <v>527</v>
      </c>
    </row>
    <row r="76" spans="1:8" ht="15.75" customHeight="1">
      <c r="B76" s="1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8F91B-8E33-A349-B8C6-252B6C07694B}">
  <dimension ref="B4:G130"/>
  <sheetViews>
    <sheetView topLeftCell="A112" zoomScale="157" workbookViewId="0">
      <selection activeCell="B13" sqref="B13"/>
    </sheetView>
  </sheetViews>
  <sheetFormatPr baseColWidth="10" defaultRowHeight="13"/>
  <cols>
    <col min="1" max="1" width="10.83203125" style="94"/>
    <col min="2" max="2" width="48.83203125" style="94" customWidth="1"/>
    <col min="3" max="3" width="21" style="94" customWidth="1"/>
    <col min="4" max="4" width="15.33203125" style="94" customWidth="1"/>
    <col min="5" max="5" width="24" style="94" customWidth="1"/>
    <col min="6" max="6" width="17.83203125" style="94" customWidth="1"/>
    <col min="7" max="7" width="15.5" style="94" customWidth="1"/>
    <col min="8" max="16384" width="10.83203125" style="94"/>
  </cols>
  <sheetData>
    <row r="4" spans="2:7">
      <c r="B4" s="96" t="s">
        <v>482</v>
      </c>
      <c r="C4" s="97"/>
      <c r="D4" s="97"/>
      <c r="E4" s="97"/>
      <c r="F4" s="97"/>
      <c r="G4" s="97"/>
    </row>
    <row r="6" spans="2:7">
      <c r="B6" s="92" t="s">
        <v>468</v>
      </c>
    </row>
    <row r="8" spans="2:7">
      <c r="B8" s="98" t="s">
        <v>469</v>
      </c>
    </row>
    <row r="9" spans="2:7">
      <c r="B9" s="66" t="s">
        <v>471</v>
      </c>
      <c r="C9" s="101">
        <v>5.7</v>
      </c>
      <c r="D9" s="92" t="s">
        <v>161</v>
      </c>
    </row>
    <row r="10" spans="2:7">
      <c r="B10" s="66" t="s">
        <v>462</v>
      </c>
      <c r="C10" s="102">
        <v>3.0000000000000001E-3</v>
      </c>
    </row>
    <row r="11" spans="2:7">
      <c r="B11" s="66" t="s">
        <v>332</v>
      </c>
      <c r="C11" s="102">
        <v>3.0000000000000001E-3</v>
      </c>
    </row>
    <row r="12" spans="2:7">
      <c r="B12" s="92" t="s">
        <v>470</v>
      </c>
      <c r="C12" s="101">
        <v>165</v>
      </c>
      <c r="D12" s="92" t="s">
        <v>466</v>
      </c>
    </row>
    <row r="13" spans="2:7">
      <c r="B13" s="66" t="s">
        <v>464</v>
      </c>
      <c r="C13" s="103">
        <v>15</v>
      </c>
    </row>
    <row r="15" spans="2:7">
      <c r="B15" s="105" t="s">
        <v>473</v>
      </c>
      <c r="C15" s="106">
        <v>900</v>
      </c>
      <c r="D15" s="98" t="s">
        <v>472</v>
      </c>
    </row>
    <row r="16" spans="2:7">
      <c r="B16" s="104" t="s">
        <v>474</v>
      </c>
      <c r="C16" s="133" t="s">
        <v>497</v>
      </c>
      <c r="D16" s="133"/>
    </row>
    <row r="17" spans="2:4">
      <c r="C17" s="92" t="s">
        <v>475</v>
      </c>
      <c r="D17" s="92" t="s">
        <v>476</v>
      </c>
    </row>
    <row r="18" spans="2:4">
      <c r="B18" s="94">
        <v>10</v>
      </c>
      <c r="C18" s="111">
        <v>0.58799999999999997</v>
      </c>
      <c r="D18" s="99">
        <v>1.6319999999999999</v>
      </c>
    </row>
    <row r="19" spans="2:4">
      <c r="B19" s="94">
        <v>20</v>
      </c>
      <c r="C19" s="111">
        <v>0.91</v>
      </c>
      <c r="D19" s="99">
        <v>2.548</v>
      </c>
    </row>
    <row r="20" spans="2:4">
      <c r="B20" s="94">
        <v>40</v>
      </c>
      <c r="C20" s="111">
        <v>1.5549999999999999</v>
      </c>
      <c r="D20" s="99">
        <v>4.3789999999999996</v>
      </c>
    </row>
    <row r="21" spans="2:4">
      <c r="B21" s="94">
        <v>60</v>
      </c>
      <c r="C21" s="111">
        <v>2.2010000000000001</v>
      </c>
      <c r="D21" s="99">
        <v>6.21</v>
      </c>
    </row>
    <row r="22" spans="2:4">
      <c r="B22" s="94">
        <v>80</v>
      </c>
      <c r="C22" s="111">
        <v>2.8460000000000001</v>
      </c>
      <c r="D22" s="99">
        <v>8.0410000000000004</v>
      </c>
    </row>
    <row r="23" spans="2:4">
      <c r="B23" s="94">
        <v>100</v>
      </c>
      <c r="C23" s="111">
        <v>3.4910000000000001</v>
      </c>
      <c r="D23" s="99">
        <v>9.8729999999999993</v>
      </c>
    </row>
    <row r="25" spans="2:4">
      <c r="B25" s="105" t="s">
        <v>473</v>
      </c>
      <c r="C25" s="106">
        <v>250</v>
      </c>
      <c r="D25" s="98" t="s">
        <v>472</v>
      </c>
    </row>
    <row r="26" spans="2:4">
      <c r="B26" s="104" t="s">
        <v>474</v>
      </c>
      <c r="C26" s="133" t="s">
        <v>497</v>
      </c>
      <c r="D26" s="133"/>
    </row>
    <row r="27" spans="2:4">
      <c r="C27" s="92" t="s">
        <v>475</v>
      </c>
      <c r="D27" s="92" t="s">
        <v>476</v>
      </c>
    </row>
    <row r="28" spans="2:4">
      <c r="B28" s="94">
        <v>5</v>
      </c>
      <c r="C28" s="111">
        <v>1.4590000000000001</v>
      </c>
      <c r="D28" s="99">
        <v>3.6949999999999998</v>
      </c>
    </row>
    <row r="29" spans="2:4">
      <c r="B29" s="94">
        <v>10</v>
      </c>
      <c r="C29" s="111">
        <v>2.0339999999999998</v>
      </c>
      <c r="D29" s="99">
        <v>5.3</v>
      </c>
    </row>
    <row r="30" spans="2:4">
      <c r="B30" s="94">
        <v>15</v>
      </c>
      <c r="C30" s="111">
        <v>2.609</v>
      </c>
      <c r="D30" s="99">
        <v>6.9050000000000002</v>
      </c>
    </row>
    <row r="31" spans="2:4">
      <c r="B31" s="94">
        <v>20</v>
      </c>
      <c r="C31" s="111">
        <v>3.1850000000000001</v>
      </c>
      <c r="D31" s="99">
        <v>8.51</v>
      </c>
    </row>
    <row r="32" spans="2:4">
      <c r="B32" s="94">
        <v>25</v>
      </c>
      <c r="C32" s="111">
        <v>3.76</v>
      </c>
      <c r="D32" s="99">
        <v>10.115</v>
      </c>
    </row>
    <row r="33" spans="2:7">
      <c r="C33" s="111"/>
      <c r="D33" s="99"/>
    </row>
    <row r="35" spans="2:7">
      <c r="B35" s="96" t="s">
        <v>483</v>
      </c>
      <c r="C35" s="97"/>
      <c r="D35" s="97"/>
      <c r="E35" s="97"/>
      <c r="F35" s="97"/>
      <c r="G35" s="97"/>
    </row>
    <row r="37" spans="2:7">
      <c r="B37" s="92" t="s">
        <v>468</v>
      </c>
    </row>
    <row r="39" spans="2:7">
      <c r="B39" s="98" t="s">
        <v>469</v>
      </c>
    </row>
    <row r="40" spans="2:7">
      <c r="B40" s="66" t="s">
        <v>471</v>
      </c>
      <c r="C40" s="101">
        <v>5.7</v>
      </c>
      <c r="D40" s="92" t="s">
        <v>161</v>
      </c>
    </row>
    <row r="41" spans="2:7">
      <c r="B41" s="66" t="s">
        <v>462</v>
      </c>
      <c r="C41" s="102">
        <v>3.0000000000000001E-3</v>
      </c>
    </row>
    <row r="42" spans="2:7">
      <c r="B42" s="66" t="s">
        <v>332</v>
      </c>
      <c r="C42" s="102">
        <v>3.0000000000000001E-3</v>
      </c>
    </row>
    <row r="43" spans="2:7">
      <c r="B43" s="92" t="s">
        <v>470</v>
      </c>
      <c r="C43" s="101">
        <v>165</v>
      </c>
      <c r="D43" s="92" t="s">
        <v>466</v>
      </c>
    </row>
    <row r="44" spans="2:7">
      <c r="B44" s="66" t="s">
        <v>464</v>
      </c>
      <c r="C44" s="103">
        <v>15</v>
      </c>
    </row>
    <row r="45" spans="2:7">
      <c r="B45" s="66" t="s">
        <v>480</v>
      </c>
      <c r="C45" s="94">
        <v>15</v>
      </c>
      <c r="D45" s="92" t="s">
        <v>481</v>
      </c>
    </row>
    <row r="48" spans="2:7">
      <c r="B48" s="92" t="s">
        <v>479</v>
      </c>
      <c r="C48" s="133" t="s">
        <v>497</v>
      </c>
      <c r="D48" s="133"/>
    </row>
    <row r="49" spans="2:7">
      <c r="C49" s="92" t="s">
        <v>475</v>
      </c>
      <c r="D49" s="92" t="s">
        <v>476</v>
      </c>
    </row>
    <row r="50" spans="2:7">
      <c r="B50" s="94">
        <v>200</v>
      </c>
      <c r="C50" s="101">
        <v>3.226</v>
      </c>
      <c r="D50" s="94">
        <v>8.4019999999999992</v>
      </c>
    </row>
    <row r="51" spans="2:7">
      <c r="B51" s="94">
        <v>400</v>
      </c>
      <c r="C51" s="101">
        <v>1.6579999999999999</v>
      </c>
      <c r="D51" s="94">
        <v>4.5049999999999999</v>
      </c>
    </row>
    <row r="52" spans="2:7">
      <c r="B52" s="94">
        <v>600</v>
      </c>
      <c r="C52" s="94">
        <v>1.1160000000000001</v>
      </c>
      <c r="D52" s="94">
        <v>3.08</v>
      </c>
    </row>
    <row r="53" spans="2:7">
      <c r="B53" s="94">
        <v>800</v>
      </c>
      <c r="C53" s="94">
        <v>0.84099999999999997</v>
      </c>
      <c r="D53" s="94">
        <v>2.3410000000000002</v>
      </c>
    </row>
    <row r="54" spans="2:7">
      <c r="B54" s="94">
        <v>1000</v>
      </c>
      <c r="C54" s="94">
        <v>0.67500000000000004</v>
      </c>
      <c r="D54" s="94">
        <v>1.8879999999999999</v>
      </c>
    </row>
    <row r="58" spans="2:7">
      <c r="B58" s="96" t="s">
        <v>485</v>
      </c>
      <c r="C58" s="97"/>
      <c r="D58" s="97"/>
      <c r="E58" s="97"/>
      <c r="F58" s="97"/>
      <c r="G58" s="97"/>
    </row>
    <row r="60" spans="2:7">
      <c r="B60" s="92" t="s">
        <v>468</v>
      </c>
    </row>
    <row r="62" spans="2:7">
      <c r="B62" s="98" t="s">
        <v>469</v>
      </c>
    </row>
    <row r="63" spans="2:7">
      <c r="B63" s="66" t="s">
        <v>462</v>
      </c>
      <c r="C63" s="102">
        <v>3.0000000000000001E-3</v>
      </c>
    </row>
    <row r="64" spans="2:7">
      <c r="B64" s="66" t="s">
        <v>332</v>
      </c>
      <c r="C64" s="102">
        <v>3.0000000000000001E-3</v>
      </c>
    </row>
    <row r="65" spans="2:4">
      <c r="B65" s="92" t="s">
        <v>470</v>
      </c>
      <c r="C65" s="101">
        <v>165</v>
      </c>
      <c r="D65" s="92" t="s">
        <v>466</v>
      </c>
    </row>
    <row r="66" spans="2:4">
      <c r="B66" s="66" t="s">
        <v>464</v>
      </c>
      <c r="C66" s="103">
        <v>15</v>
      </c>
    </row>
    <row r="67" spans="2:4">
      <c r="B67" s="66"/>
      <c r="D67" s="92"/>
    </row>
    <row r="68" spans="2:4">
      <c r="B68" s="66"/>
      <c r="D68" s="92"/>
    </row>
    <row r="69" spans="2:4">
      <c r="B69" s="105" t="s">
        <v>473</v>
      </c>
      <c r="C69" s="106">
        <v>900</v>
      </c>
      <c r="D69" s="98" t="s">
        <v>472</v>
      </c>
    </row>
    <row r="70" spans="2:4">
      <c r="B70" s="105" t="s">
        <v>488</v>
      </c>
      <c r="C70" s="106">
        <v>25</v>
      </c>
      <c r="D70" s="98" t="s">
        <v>284</v>
      </c>
    </row>
    <row r="71" spans="2:4">
      <c r="B71" s="92" t="s">
        <v>486</v>
      </c>
      <c r="C71" s="133" t="s">
        <v>497</v>
      </c>
      <c r="D71" s="133"/>
    </row>
    <row r="72" spans="2:4">
      <c r="C72" s="92" t="s">
        <v>475</v>
      </c>
      <c r="D72" s="92" t="s">
        <v>476</v>
      </c>
    </row>
    <row r="73" spans="2:4">
      <c r="B73" s="94">
        <v>2</v>
      </c>
      <c r="C73" s="111">
        <v>2.3340000000000001</v>
      </c>
      <c r="D73" s="99">
        <v>6.4139999999999997</v>
      </c>
    </row>
    <row r="74" spans="2:4">
      <c r="B74" s="94">
        <v>4</v>
      </c>
      <c r="C74" s="111">
        <v>1.4279999999999999</v>
      </c>
      <c r="D74" s="100">
        <v>3.9820000000000002</v>
      </c>
    </row>
    <row r="75" spans="2:4">
      <c r="B75" s="94">
        <v>6</v>
      </c>
      <c r="C75" s="99">
        <v>1.026</v>
      </c>
      <c r="D75" s="99">
        <v>2.8809999999999998</v>
      </c>
    </row>
    <row r="76" spans="2:4">
      <c r="B76" s="94">
        <v>8</v>
      </c>
      <c r="C76" s="99">
        <v>0.80100000000000005</v>
      </c>
      <c r="D76" s="99">
        <v>2.2559999999999998</v>
      </c>
    </row>
    <row r="77" spans="2:4">
      <c r="B77" s="94">
        <v>10</v>
      </c>
      <c r="C77" s="99">
        <v>0.65600000000000003</v>
      </c>
      <c r="D77" s="99">
        <v>1.853</v>
      </c>
    </row>
    <row r="79" spans="2:4">
      <c r="B79" s="105" t="s">
        <v>473</v>
      </c>
      <c r="C79" s="106">
        <v>250</v>
      </c>
      <c r="D79" s="98" t="s">
        <v>472</v>
      </c>
    </row>
    <row r="80" spans="2:4">
      <c r="B80" s="105" t="s">
        <v>487</v>
      </c>
      <c r="C80" s="106">
        <v>15</v>
      </c>
      <c r="D80" s="98" t="s">
        <v>465</v>
      </c>
    </row>
    <row r="81" spans="2:7">
      <c r="B81" s="92" t="s">
        <v>486</v>
      </c>
      <c r="C81" s="133" t="s">
        <v>497</v>
      </c>
      <c r="D81" s="133"/>
    </row>
    <row r="82" spans="2:7">
      <c r="C82" s="92" t="s">
        <v>475</v>
      </c>
      <c r="D82" s="92" t="s">
        <v>476</v>
      </c>
    </row>
    <row r="83" spans="2:7">
      <c r="B83" s="94">
        <v>2</v>
      </c>
      <c r="C83" s="111">
        <v>5.4669999999999996</v>
      </c>
      <c r="D83" s="99">
        <v>13.525</v>
      </c>
    </row>
    <row r="84" spans="2:7">
      <c r="B84" s="94">
        <v>4</v>
      </c>
      <c r="C84" s="111">
        <v>3.4380000000000002</v>
      </c>
      <c r="D84" s="100">
        <v>8.907</v>
      </c>
    </row>
    <row r="85" spans="2:7">
      <c r="B85" s="94">
        <v>6</v>
      </c>
      <c r="C85" s="99">
        <v>2.5030000000000001</v>
      </c>
      <c r="D85" s="99">
        <v>6.641</v>
      </c>
    </row>
    <row r="86" spans="2:7">
      <c r="B86" s="94">
        <v>8</v>
      </c>
      <c r="C86" s="99">
        <v>1.966</v>
      </c>
      <c r="D86" s="99">
        <v>5.2949999999999999</v>
      </c>
    </row>
    <row r="87" spans="2:7">
      <c r="B87" s="94">
        <v>10</v>
      </c>
      <c r="C87" s="99">
        <v>1.619</v>
      </c>
      <c r="D87" s="99">
        <v>4.4029999999999996</v>
      </c>
    </row>
    <row r="90" spans="2:7">
      <c r="B90" s="96" t="s">
        <v>490</v>
      </c>
      <c r="C90" s="97"/>
      <c r="D90" s="97"/>
      <c r="E90" s="97"/>
      <c r="F90" s="97"/>
      <c r="G90" s="97"/>
    </row>
    <row r="92" spans="2:7">
      <c r="B92" s="92" t="s">
        <v>468</v>
      </c>
    </row>
    <row r="94" spans="2:7">
      <c r="B94" s="98" t="s">
        <v>469</v>
      </c>
    </row>
    <row r="95" spans="2:7">
      <c r="B95" s="66" t="s">
        <v>471</v>
      </c>
      <c r="C95" s="101">
        <v>5.7</v>
      </c>
      <c r="D95" s="92" t="s">
        <v>161</v>
      </c>
    </row>
    <row r="96" spans="2:7">
      <c r="B96" s="66" t="s">
        <v>462</v>
      </c>
      <c r="C96" s="102">
        <v>3.0000000000000001E-3</v>
      </c>
    </row>
    <row r="97" spans="2:7">
      <c r="B97" s="66" t="s">
        <v>332</v>
      </c>
      <c r="C97" s="102">
        <v>3.0000000000000001E-3</v>
      </c>
    </row>
    <row r="98" spans="2:7">
      <c r="B98" s="92" t="s">
        <v>470</v>
      </c>
      <c r="C98" s="101">
        <v>165</v>
      </c>
      <c r="D98" s="92" t="s">
        <v>466</v>
      </c>
    </row>
    <row r="99" spans="2:7">
      <c r="B99" s="66" t="s">
        <v>464</v>
      </c>
      <c r="C99" s="103">
        <v>15</v>
      </c>
    </row>
    <row r="100" spans="2:7">
      <c r="B100" s="66" t="s">
        <v>480</v>
      </c>
      <c r="C100" s="94">
        <v>25</v>
      </c>
      <c r="D100" s="92"/>
    </row>
    <row r="101" spans="2:7">
      <c r="B101" s="66" t="s">
        <v>492</v>
      </c>
      <c r="C101" s="94">
        <v>900</v>
      </c>
    </row>
    <row r="103" spans="2:7">
      <c r="B103" s="104" t="s">
        <v>491</v>
      </c>
      <c r="C103" s="133" t="s">
        <v>497</v>
      </c>
      <c r="D103" s="133"/>
    </row>
    <row r="104" spans="2:7">
      <c r="C104" s="92" t="s">
        <v>475</v>
      </c>
      <c r="D104" s="92" t="s">
        <v>476</v>
      </c>
    </row>
    <row r="105" spans="2:7">
      <c r="B105" s="92" t="s">
        <v>496</v>
      </c>
      <c r="C105" s="99">
        <v>1.0720000000000001</v>
      </c>
      <c r="D105" s="99">
        <v>3.0059999999999998</v>
      </c>
    </row>
    <row r="106" spans="2:7">
      <c r="B106" s="92" t="s">
        <v>493</v>
      </c>
      <c r="C106" s="99">
        <v>0.66800000000000004</v>
      </c>
      <c r="D106" s="99">
        <v>1.8160000000000001</v>
      </c>
    </row>
    <row r="107" spans="2:7">
      <c r="B107" s="92" t="s">
        <v>494</v>
      </c>
      <c r="C107" s="99">
        <v>0.50600000000000001</v>
      </c>
      <c r="D107" s="99">
        <v>1.4319999999999999</v>
      </c>
    </row>
    <row r="108" spans="2:7">
      <c r="B108" s="92" t="s">
        <v>495</v>
      </c>
      <c r="C108" s="99">
        <v>0.53600000000000003</v>
      </c>
      <c r="D108" s="99">
        <v>1.5029999999999999</v>
      </c>
    </row>
    <row r="111" spans="2:7">
      <c r="B111" s="96" t="s">
        <v>510</v>
      </c>
      <c r="C111" s="97"/>
      <c r="D111" s="97"/>
      <c r="E111" s="97"/>
      <c r="F111" s="97"/>
      <c r="G111" s="97"/>
    </row>
    <row r="113" spans="2:4">
      <c r="B113" s="98" t="s">
        <v>469</v>
      </c>
    </row>
    <row r="114" spans="2:4">
      <c r="B114" s="66" t="s">
        <v>471</v>
      </c>
      <c r="C114" s="101">
        <v>5.7</v>
      </c>
      <c r="D114" s="92" t="s">
        <v>161</v>
      </c>
    </row>
    <row r="115" spans="2:4">
      <c r="B115" s="66" t="s">
        <v>462</v>
      </c>
      <c r="C115" s="102" t="s">
        <v>511</v>
      </c>
    </row>
    <row r="116" spans="2:4">
      <c r="B116" s="66" t="s">
        <v>332</v>
      </c>
      <c r="C116" s="102">
        <v>0</v>
      </c>
      <c r="D116" s="92" t="s">
        <v>512</v>
      </c>
    </row>
    <row r="117" spans="2:4">
      <c r="B117" s="92" t="s">
        <v>470</v>
      </c>
      <c r="C117" s="101">
        <v>165</v>
      </c>
      <c r="D117" s="92" t="s">
        <v>466</v>
      </c>
    </row>
    <row r="118" spans="2:4">
      <c r="B118" s="66" t="s">
        <v>464</v>
      </c>
      <c r="C118" s="103">
        <v>15</v>
      </c>
    </row>
    <row r="119" spans="2:4">
      <c r="B119" s="66" t="s">
        <v>480</v>
      </c>
      <c r="C119" s="94">
        <v>25</v>
      </c>
    </row>
    <row r="120" spans="2:4">
      <c r="B120" s="66" t="s">
        <v>492</v>
      </c>
      <c r="C120" s="94">
        <v>900</v>
      </c>
    </row>
    <row r="122" spans="2:4">
      <c r="B122" s="92" t="s">
        <v>513</v>
      </c>
      <c r="C122" s="133" t="s">
        <v>497</v>
      </c>
      <c r="D122" s="133"/>
    </row>
    <row r="123" spans="2:4">
      <c r="C123" s="92" t="s">
        <v>475</v>
      </c>
      <c r="D123" s="92" t="s">
        <v>476</v>
      </c>
    </row>
    <row r="124" spans="2:4">
      <c r="B124" s="94">
        <v>0.05</v>
      </c>
      <c r="C124" s="99">
        <v>0.13400000000000001</v>
      </c>
      <c r="D124" s="99">
        <v>0.38100000000000001</v>
      </c>
    </row>
    <row r="125" spans="2:4">
      <c r="B125" s="92">
        <v>0.1</v>
      </c>
      <c r="C125" s="99">
        <v>0.26900000000000002</v>
      </c>
      <c r="D125" s="99">
        <v>0.76300000000000001</v>
      </c>
    </row>
    <row r="126" spans="2:4">
      <c r="B126" s="92">
        <v>0.2</v>
      </c>
      <c r="C126" s="99">
        <v>0.53800000000000003</v>
      </c>
      <c r="D126" s="99">
        <v>1.526</v>
      </c>
    </row>
    <row r="127" spans="2:4">
      <c r="B127" s="92">
        <v>0.4</v>
      </c>
      <c r="C127" s="99">
        <v>1.075</v>
      </c>
      <c r="D127" s="99">
        <v>3.052</v>
      </c>
    </row>
    <row r="128" spans="2:4">
      <c r="B128" s="92">
        <v>0.6</v>
      </c>
      <c r="C128" s="99">
        <v>1.613</v>
      </c>
      <c r="D128" s="99">
        <v>4.5780000000000003</v>
      </c>
    </row>
    <row r="129" spans="2:4">
      <c r="B129" s="92">
        <v>0.8</v>
      </c>
      <c r="C129" s="99">
        <v>2.1509999999999998</v>
      </c>
      <c r="D129" s="99">
        <v>6.1040000000000001</v>
      </c>
    </row>
    <row r="130" spans="2:4">
      <c r="B130" s="92">
        <v>1</v>
      </c>
      <c r="C130" s="99">
        <v>2.6880000000000002</v>
      </c>
      <c r="D130" s="99">
        <v>7.63</v>
      </c>
    </row>
  </sheetData>
  <mergeCells count="7">
    <mergeCell ref="C81:D81"/>
    <mergeCell ref="C103:D103"/>
    <mergeCell ref="C26:D26"/>
    <mergeCell ref="C122:D122"/>
    <mergeCell ref="C16:D16"/>
    <mergeCell ref="C48:D48"/>
    <mergeCell ref="C71:D7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A02C8-E890-5746-BB35-51E213B7F956}">
  <dimension ref="B3:G150"/>
  <sheetViews>
    <sheetView zoomScale="157" workbookViewId="0">
      <selection activeCell="B69" sqref="B69:D74"/>
    </sheetView>
  </sheetViews>
  <sheetFormatPr baseColWidth="10" defaultRowHeight="13"/>
  <cols>
    <col min="1" max="1" width="10.83203125" style="94"/>
    <col min="2" max="2" width="36.6640625" style="94" customWidth="1"/>
    <col min="3" max="3" width="21" style="94" customWidth="1"/>
    <col min="4" max="4" width="15.33203125" style="94" customWidth="1"/>
    <col min="5" max="5" width="24" style="94" customWidth="1"/>
    <col min="6" max="6" width="17.83203125" style="94" customWidth="1"/>
    <col min="7" max="7" width="15.5" style="94" customWidth="1"/>
    <col min="8" max="16384" width="10.83203125" style="94"/>
  </cols>
  <sheetData>
    <row r="3" spans="2:7">
      <c r="B3" s="96" t="s">
        <v>467</v>
      </c>
      <c r="C3" s="97"/>
      <c r="D3" s="97"/>
      <c r="E3" s="97"/>
      <c r="F3" s="97"/>
      <c r="G3" s="97"/>
    </row>
    <row r="5" spans="2:7">
      <c r="B5" s="92" t="s">
        <v>468</v>
      </c>
    </row>
    <row r="7" spans="2:7">
      <c r="B7" s="98" t="s">
        <v>469</v>
      </c>
    </row>
    <row r="8" spans="2:7">
      <c r="B8" s="66" t="s">
        <v>471</v>
      </c>
      <c r="C8" s="101">
        <v>5.7</v>
      </c>
      <c r="D8" s="92" t="s">
        <v>161</v>
      </c>
    </row>
    <row r="9" spans="2:7">
      <c r="B9" s="66" t="s">
        <v>462</v>
      </c>
      <c r="C9" s="102">
        <v>3.0000000000000001E-3</v>
      </c>
    </row>
    <row r="10" spans="2:7">
      <c r="B10" s="66" t="s">
        <v>332</v>
      </c>
      <c r="C10" s="102">
        <v>3.0000000000000001E-3</v>
      </c>
    </row>
    <row r="11" spans="2:7">
      <c r="B11" s="92" t="s">
        <v>470</v>
      </c>
      <c r="C11" s="101">
        <v>165</v>
      </c>
      <c r="D11" s="92" t="s">
        <v>466</v>
      </c>
    </row>
    <row r="12" spans="2:7">
      <c r="B12" s="66" t="s">
        <v>464</v>
      </c>
      <c r="C12" s="103">
        <v>15</v>
      </c>
    </row>
    <row r="14" spans="2:7">
      <c r="B14" s="105" t="s">
        <v>473</v>
      </c>
      <c r="C14" s="106">
        <v>900</v>
      </c>
      <c r="D14" s="98" t="s">
        <v>472</v>
      </c>
    </row>
    <row r="15" spans="2:7">
      <c r="B15" s="104" t="s">
        <v>474</v>
      </c>
      <c r="C15" s="133" t="s">
        <v>477</v>
      </c>
      <c r="D15" s="133"/>
    </row>
    <row r="16" spans="2:7">
      <c r="C16" s="92" t="s">
        <v>475</v>
      </c>
      <c r="D16" s="92" t="s">
        <v>476</v>
      </c>
    </row>
    <row r="17" spans="2:4">
      <c r="B17" s="94">
        <v>10</v>
      </c>
      <c r="C17" s="101">
        <v>0.03</v>
      </c>
      <c r="D17" s="94">
        <v>8.1000000000000003E-2</v>
      </c>
    </row>
    <row r="18" spans="2:4">
      <c r="B18" s="94">
        <v>20</v>
      </c>
      <c r="C18" s="101">
        <v>5.8999999999999997E-2</v>
      </c>
      <c r="D18" s="94">
        <v>0.16200000000000001</v>
      </c>
    </row>
    <row r="19" spans="2:4">
      <c r="B19" s="94">
        <v>40</v>
      </c>
      <c r="C19" s="94">
        <v>0.11899999999999999</v>
      </c>
      <c r="D19" s="94">
        <v>0.32300000000000001</v>
      </c>
    </row>
    <row r="20" spans="2:4">
      <c r="B20" s="94">
        <v>60</v>
      </c>
      <c r="C20" s="94">
        <v>0.17799999999999999</v>
      </c>
      <c r="D20" s="94">
        <v>0.48499999999999999</v>
      </c>
    </row>
    <row r="21" spans="2:4">
      <c r="B21" s="94">
        <v>80</v>
      </c>
      <c r="C21" s="94">
        <v>0.23799999999999999</v>
      </c>
      <c r="D21" s="94">
        <v>0.64600000000000002</v>
      </c>
    </row>
    <row r="22" spans="2:4">
      <c r="B22" s="94">
        <v>100</v>
      </c>
      <c r="C22" s="94">
        <v>0.29699999999999999</v>
      </c>
      <c r="D22" s="94">
        <v>0.80800000000000005</v>
      </c>
    </row>
    <row r="24" spans="2:4">
      <c r="B24" s="105" t="s">
        <v>473</v>
      </c>
      <c r="C24" s="106">
        <v>250</v>
      </c>
      <c r="D24" s="98" t="s">
        <v>472</v>
      </c>
    </row>
    <row r="25" spans="2:4">
      <c r="B25" s="104" t="s">
        <v>474</v>
      </c>
      <c r="C25" s="133" t="s">
        <v>477</v>
      </c>
      <c r="D25" s="133"/>
    </row>
    <row r="26" spans="2:4">
      <c r="C26" s="92" t="s">
        <v>475</v>
      </c>
      <c r="D26" s="92" t="s">
        <v>476</v>
      </c>
    </row>
    <row r="27" spans="2:4">
      <c r="B27" s="94">
        <v>5</v>
      </c>
      <c r="C27" s="107">
        <v>0.05</v>
      </c>
      <c r="D27" s="94">
        <v>0.121</v>
      </c>
    </row>
    <row r="28" spans="2:4">
      <c r="B28" s="94">
        <v>10</v>
      </c>
      <c r="C28" s="101">
        <v>0.1</v>
      </c>
      <c r="D28" s="94">
        <v>0.24099999999999999</v>
      </c>
    </row>
    <row r="29" spans="2:4">
      <c r="B29" s="94">
        <v>15</v>
      </c>
      <c r="C29" s="94">
        <v>0.15</v>
      </c>
      <c r="D29" s="94">
        <v>0.36199999999999999</v>
      </c>
    </row>
    <row r="30" spans="2:4">
      <c r="B30" s="94">
        <v>20</v>
      </c>
      <c r="C30" s="94">
        <v>0.2</v>
      </c>
      <c r="D30" s="94">
        <v>0.48199999999999998</v>
      </c>
    </row>
    <row r="31" spans="2:4">
      <c r="B31" s="94">
        <v>25</v>
      </c>
      <c r="C31" s="94">
        <v>0.25</v>
      </c>
      <c r="D31" s="94">
        <v>0.60299999999999998</v>
      </c>
    </row>
    <row r="34" spans="2:7">
      <c r="B34" s="96" t="s">
        <v>478</v>
      </c>
      <c r="C34" s="97"/>
      <c r="D34" s="97"/>
      <c r="E34" s="97"/>
      <c r="F34" s="97"/>
      <c r="G34" s="97"/>
    </row>
    <row r="36" spans="2:7">
      <c r="B36" s="92" t="s">
        <v>468</v>
      </c>
    </row>
    <row r="38" spans="2:7">
      <c r="B38" s="98" t="s">
        <v>469</v>
      </c>
    </row>
    <row r="39" spans="2:7">
      <c r="B39" s="66" t="s">
        <v>471</v>
      </c>
      <c r="C39" s="101">
        <v>5.7</v>
      </c>
      <c r="D39" s="92" t="s">
        <v>161</v>
      </c>
    </row>
    <row r="40" spans="2:7">
      <c r="B40" s="66" t="s">
        <v>462</v>
      </c>
      <c r="C40" s="102">
        <v>3.0000000000000001E-3</v>
      </c>
    </row>
    <row r="41" spans="2:7">
      <c r="B41" s="66" t="s">
        <v>332</v>
      </c>
      <c r="C41" s="102">
        <v>3.0000000000000001E-3</v>
      </c>
    </row>
    <row r="42" spans="2:7">
      <c r="B42" s="92" t="s">
        <v>470</v>
      </c>
      <c r="C42" s="101">
        <v>165</v>
      </c>
      <c r="D42" s="92" t="s">
        <v>466</v>
      </c>
    </row>
    <row r="43" spans="2:7">
      <c r="B43" s="66" t="s">
        <v>464</v>
      </c>
      <c r="C43" s="103">
        <v>15</v>
      </c>
    </row>
    <row r="44" spans="2:7">
      <c r="B44" s="66" t="s">
        <v>480</v>
      </c>
      <c r="C44" s="94">
        <v>15</v>
      </c>
      <c r="D44" s="92" t="s">
        <v>481</v>
      </c>
    </row>
    <row r="46" spans="2:7">
      <c r="B46" s="92" t="s">
        <v>479</v>
      </c>
      <c r="C46" s="133" t="s">
        <v>477</v>
      </c>
      <c r="D46" s="133"/>
    </row>
    <row r="47" spans="2:7">
      <c r="C47" s="92" t="s">
        <v>475</v>
      </c>
      <c r="D47" s="92" t="s">
        <v>476</v>
      </c>
    </row>
    <row r="48" spans="2:7">
      <c r="B48" s="94">
        <v>200</v>
      </c>
      <c r="C48" s="101">
        <v>0.183</v>
      </c>
      <c r="D48" s="94">
        <v>0.42499999999999999</v>
      </c>
    </row>
    <row r="49" spans="2:7">
      <c r="B49" s="94">
        <v>400</v>
      </c>
      <c r="C49" s="101">
        <v>9.7000000000000003E-2</v>
      </c>
      <c r="D49" s="94">
        <v>0.249</v>
      </c>
    </row>
    <row r="50" spans="2:7">
      <c r="B50" s="94">
        <v>600</v>
      </c>
      <c r="C50" s="94">
        <v>6.6000000000000003E-2</v>
      </c>
      <c r="D50" s="94">
        <v>0.17499999999999999</v>
      </c>
    </row>
    <row r="51" spans="2:7">
      <c r="B51" s="94">
        <v>800</v>
      </c>
      <c r="C51" s="94">
        <v>0.05</v>
      </c>
      <c r="D51" s="94">
        <v>0.13500000000000001</v>
      </c>
    </row>
    <row r="52" spans="2:7">
      <c r="B52" s="94">
        <v>1000</v>
      </c>
      <c r="C52" s="94">
        <v>0.04</v>
      </c>
      <c r="D52" s="94">
        <v>0.11</v>
      </c>
    </row>
    <row r="55" spans="2:7">
      <c r="B55" s="96" t="s">
        <v>482</v>
      </c>
      <c r="C55" s="97"/>
      <c r="D55" s="97"/>
      <c r="E55" s="97"/>
      <c r="F55" s="97"/>
      <c r="G55" s="97"/>
    </row>
    <row r="57" spans="2:7">
      <c r="B57" s="92" t="s">
        <v>468</v>
      </c>
    </row>
    <row r="59" spans="2:7">
      <c r="B59" s="98" t="s">
        <v>469</v>
      </c>
    </row>
    <row r="60" spans="2:7">
      <c r="B60" s="66" t="s">
        <v>471</v>
      </c>
      <c r="C60" s="101">
        <v>5.7</v>
      </c>
      <c r="D60" s="92" t="s">
        <v>161</v>
      </c>
    </row>
    <row r="61" spans="2:7">
      <c r="B61" s="66" t="s">
        <v>462</v>
      </c>
      <c r="C61" s="102">
        <v>3.0000000000000001E-3</v>
      </c>
    </row>
    <row r="62" spans="2:7">
      <c r="B62" s="66" t="s">
        <v>332</v>
      </c>
      <c r="C62" s="102">
        <v>3.0000000000000001E-3</v>
      </c>
    </row>
    <row r="63" spans="2:7">
      <c r="B63" s="92" t="s">
        <v>470</v>
      </c>
      <c r="C63" s="101">
        <v>165</v>
      </c>
      <c r="D63" s="92" t="s">
        <v>466</v>
      </c>
    </row>
    <row r="64" spans="2:7">
      <c r="B64" s="66" t="s">
        <v>464</v>
      </c>
      <c r="C64" s="103">
        <v>15</v>
      </c>
    </row>
    <row r="66" spans="2:7">
      <c r="B66" s="105" t="s">
        <v>473</v>
      </c>
      <c r="C66" s="106">
        <v>900</v>
      </c>
      <c r="D66" s="98" t="s">
        <v>472</v>
      </c>
    </row>
    <row r="67" spans="2:7">
      <c r="B67" s="104" t="s">
        <v>474</v>
      </c>
      <c r="C67" s="133" t="s">
        <v>497</v>
      </c>
      <c r="D67" s="133"/>
    </row>
    <row r="68" spans="2:7">
      <c r="C68" s="92" t="s">
        <v>475</v>
      </c>
      <c r="D68" s="92" t="s">
        <v>476</v>
      </c>
    </row>
    <row r="69" spans="2:7">
      <c r="B69" s="94">
        <v>10</v>
      </c>
      <c r="C69" s="111">
        <v>0.3</v>
      </c>
      <c r="D69" s="99">
        <v>0.80999999999999994</v>
      </c>
    </row>
    <row r="70" spans="2:7">
      <c r="B70" s="94">
        <v>20</v>
      </c>
      <c r="C70" s="111">
        <v>0.3</v>
      </c>
      <c r="D70" s="99">
        <v>0.80999999999999994</v>
      </c>
    </row>
    <row r="71" spans="2:7">
      <c r="B71" s="94">
        <v>40</v>
      </c>
      <c r="C71" s="111">
        <v>0.3</v>
      </c>
      <c r="D71" s="99">
        <v>0.80999999999999994</v>
      </c>
    </row>
    <row r="72" spans="2:7">
      <c r="B72" s="94">
        <v>60</v>
      </c>
      <c r="C72" s="111">
        <v>0.3</v>
      </c>
      <c r="D72" s="99">
        <v>0.80999999999999994</v>
      </c>
    </row>
    <row r="73" spans="2:7">
      <c r="B73" s="94">
        <v>80</v>
      </c>
      <c r="C73" s="111">
        <v>0.3</v>
      </c>
      <c r="D73" s="99">
        <v>0.80999999999999994</v>
      </c>
    </row>
    <row r="74" spans="2:7">
      <c r="B74" s="94">
        <v>100</v>
      </c>
      <c r="C74" s="111">
        <v>0.3</v>
      </c>
      <c r="D74" s="99">
        <v>0.80999999999999994</v>
      </c>
    </row>
    <row r="77" spans="2:7">
      <c r="B77" s="96" t="s">
        <v>483</v>
      </c>
      <c r="C77" s="97"/>
      <c r="D77" s="97"/>
      <c r="E77" s="97"/>
      <c r="F77" s="97"/>
      <c r="G77" s="97"/>
    </row>
    <row r="79" spans="2:7">
      <c r="B79" s="92" t="s">
        <v>468</v>
      </c>
    </row>
    <row r="81" spans="2:4">
      <c r="B81" s="98" t="s">
        <v>469</v>
      </c>
    </row>
    <row r="82" spans="2:4">
      <c r="B82" s="66" t="s">
        <v>471</v>
      </c>
      <c r="C82" s="101">
        <v>5.7</v>
      </c>
      <c r="D82" s="92" t="s">
        <v>161</v>
      </c>
    </row>
    <row r="83" spans="2:4">
      <c r="B83" s="66" t="s">
        <v>462</v>
      </c>
      <c r="C83" s="102">
        <v>3.0000000000000001E-3</v>
      </c>
    </row>
    <row r="84" spans="2:4">
      <c r="B84" s="66" t="s">
        <v>332</v>
      </c>
      <c r="C84" s="102">
        <v>3.0000000000000001E-3</v>
      </c>
    </row>
    <row r="85" spans="2:4">
      <c r="B85" s="92" t="s">
        <v>470</v>
      </c>
      <c r="C85" s="101">
        <v>165</v>
      </c>
      <c r="D85" s="92" t="s">
        <v>466</v>
      </c>
    </row>
    <row r="86" spans="2:4">
      <c r="B86" s="66" t="s">
        <v>464</v>
      </c>
      <c r="C86" s="103">
        <v>15</v>
      </c>
    </row>
    <row r="87" spans="2:4">
      <c r="B87" s="66" t="s">
        <v>480</v>
      </c>
      <c r="C87" s="94">
        <v>15</v>
      </c>
      <c r="D87" s="92" t="s">
        <v>481</v>
      </c>
    </row>
    <row r="90" spans="2:4">
      <c r="B90" s="92" t="s">
        <v>479</v>
      </c>
      <c r="C90" s="133" t="s">
        <v>484</v>
      </c>
      <c r="D90" s="133"/>
    </row>
    <row r="91" spans="2:4">
      <c r="C91" s="92" t="s">
        <v>475</v>
      </c>
      <c r="D91" s="92" t="s">
        <v>476</v>
      </c>
    </row>
    <row r="92" spans="2:4">
      <c r="B92" s="94">
        <v>200</v>
      </c>
      <c r="C92" s="101">
        <v>1.22</v>
      </c>
      <c r="D92" s="94">
        <v>2.84</v>
      </c>
    </row>
    <row r="93" spans="2:4">
      <c r="B93" s="94">
        <v>400</v>
      </c>
      <c r="C93" s="101">
        <v>0.65</v>
      </c>
      <c r="D93" s="94">
        <v>1.66</v>
      </c>
    </row>
    <row r="94" spans="2:4">
      <c r="B94" s="94">
        <v>600</v>
      </c>
      <c r="C94" s="94">
        <v>0.44</v>
      </c>
      <c r="D94" s="94">
        <v>1.17</v>
      </c>
    </row>
    <row r="95" spans="2:4">
      <c r="B95" s="94">
        <v>800</v>
      </c>
      <c r="C95" s="94">
        <v>0.33</v>
      </c>
      <c r="D95" s="94">
        <v>0.9</v>
      </c>
    </row>
    <row r="96" spans="2:4">
      <c r="B96" s="94">
        <v>1000</v>
      </c>
      <c r="C96" s="94">
        <v>0.27</v>
      </c>
      <c r="D96" s="94">
        <v>0.73</v>
      </c>
    </row>
    <row r="100" spans="2:7">
      <c r="B100" s="96" t="s">
        <v>485</v>
      </c>
      <c r="C100" s="97"/>
      <c r="D100" s="97"/>
      <c r="E100" s="97"/>
      <c r="F100" s="97"/>
      <c r="G100" s="97"/>
    </row>
    <row r="102" spans="2:7">
      <c r="B102" s="92" t="s">
        <v>468</v>
      </c>
    </row>
    <row r="104" spans="2:7">
      <c r="B104" s="98" t="s">
        <v>469</v>
      </c>
    </row>
    <row r="105" spans="2:7">
      <c r="B105" s="66" t="s">
        <v>462</v>
      </c>
      <c r="C105" s="102">
        <v>3.0000000000000001E-3</v>
      </c>
    </row>
    <row r="106" spans="2:7">
      <c r="B106" s="66" t="s">
        <v>332</v>
      </c>
      <c r="C106" s="102">
        <v>3.0000000000000001E-3</v>
      </c>
    </row>
    <row r="107" spans="2:7">
      <c r="B107" s="92" t="s">
        <v>470</v>
      </c>
      <c r="C107" s="101">
        <v>165</v>
      </c>
      <c r="D107" s="92" t="s">
        <v>466</v>
      </c>
    </row>
    <row r="108" spans="2:7">
      <c r="B108" s="66" t="s">
        <v>464</v>
      </c>
      <c r="C108" s="103">
        <v>15</v>
      </c>
    </row>
    <row r="109" spans="2:7">
      <c r="B109" s="66" t="s">
        <v>480</v>
      </c>
      <c r="C109" s="94">
        <v>25</v>
      </c>
      <c r="D109" s="92"/>
    </row>
    <row r="110" spans="2:7">
      <c r="B110" s="66"/>
      <c r="D110" s="92"/>
    </row>
    <row r="111" spans="2:7">
      <c r="B111" s="105" t="s">
        <v>473</v>
      </c>
      <c r="C111" s="106">
        <v>900</v>
      </c>
      <c r="D111" s="98" t="s">
        <v>472</v>
      </c>
    </row>
    <row r="112" spans="2:7">
      <c r="B112" s="105" t="s">
        <v>488</v>
      </c>
      <c r="C112" s="106" t="s">
        <v>489</v>
      </c>
      <c r="D112" s="98"/>
    </row>
    <row r="113" spans="2:4">
      <c r="B113" s="92" t="s">
        <v>486</v>
      </c>
      <c r="C113" s="133" t="s">
        <v>484</v>
      </c>
      <c r="D113" s="133"/>
    </row>
    <row r="114" spans="2:4">
      <c r="C114" s="92" t="s">
        <v>475</v>
      </c>
      <c r="D114" s="92" t="s">
        <v>476</v>
      </c>
    </row>
    <row r="115" spans="2:4">
      <c r="B115" s="94">
        <v>2</v>
      </c>
      <c r="C115" s="108">
        <v>6.3E-3</v>
      </c>
      <c r="D115" s="109">
        <v>1.6299999999999999E-2</v>
      </c>
    </row>
    <row r="116" spans="2:4">
      <c r="B116" s="94">
        <v>4</v>
      </c>
      <c r="C116" s="108">
        <v>3.8999999999999998E-3</v>
      </c>
      <c r="D116" s="110">
        <v>1.0500000000000001E-2</v>
      </c>
    </row>
    <row r="117" spans="2:4">
      <c r="B117" s="94">
        <v>6</v>
      </c>
      <c r="C117" s="109">
        <v>2.8E-3</v>
      </c>
      <c r="D117" s="109">
        <v>7.7999999999999996E-3</v>
      </c>
    </row>
    <row r="118" spans="2:4">
      <c r="B118" s="94">
        <v>8</v>
      </c>
      <c r="C118" s="109">
        <v>2.2000000000000001E-3</v>
      </c>
      <c r="D118" s="109">
        <v>6.1000000000000004E-3</v>
      </c>
    </row>
    <row r="119" spans="2:4">
      <c r="B119" s="94">
        <v>10</v>
      </c>
      <c r="C119" s="109">
        <v>1.8E-3</v>
      </c>
      <c r="D119" s="109">
        <v>5.1000000000000004E-3</v>
      </c>
    </row>
    <row r="121" spans="2:4">
      <c r="B121" s="105" t="s">
        <v>473</v>
      </c>
      <c r="C121" s="106">
        <v>250</v>
      </c>
      <c r="D121" s="98" t="s">
        <v>472</v>
      </c>
    </row>
    <row r="122" spans="2:4">
      <c r="B122" s="105" t="s">
        <v>487</v>
      </c>
      <c r="C122" s="106">
        <v>15</v>
      </c>
      <c r="D122" s="98" t="s">
        <v>465</v>
      </c>
    </row>
    <row r="123" spans="2:4">
      <c r="B123" s="92" t="s">
        <v>486</v>
      </c>
      <c r="C123" s="133" t="s">
        <v>484</v>
      </c>
      <c r="D123" s="133"/>
    </row>
    <row r="124" spans="2:4">
      <c r="C124" s="92" t="s">
        <v>475</v>
      </c>
      <c r="D124" s="92" t="s">
        <v>476</v>
      </c>
    </row>
    <row r="125" spans="2:4">
      <c r="B125" s="94">
        <v>2</v>
      </c>
      <c r="C125" s="108">
        <v>1.9699999999999999E-2</v>
      </c>
      <c r="D125" s="109">
        <v>4.0399999999999998E-2</v>
      </c>
    </row>
    <row r="126" spans="2:4">
      <c r="B126" s="94">
        <v>4</v>
      </c>
      <c r="C126" s="108">
        <v>1.29E-2</v>
      </c>
      <c r="D126" s="110">
        <v>0.97</v>
      </c>
    </row>
    <row r="127" spans="2:4">
      <c r="B127" s="94">
        <v>6</v>
      </c>
      <c r="C127" s="109">
        <v>9.5999999999999992E-3</v>
      </c>
      <c r="D127" s="109">
        <v>2.3300000000000001E-2</v>
      </c>
    </row>
    <row r="128" spans="2:4">
      <c r="B128" s="94">
        <v>8</v>
      </c>
      <c r="C128" s="109">
        <v>7.6E-3</v>
      </c>
      <c r="D128" s="109">
        <v>1.9199999999999998E-2</v>
      </c>
    </row>
    <row r="129" spans="2:7">
      <c r="B129" s="94">
        <v>10</v>
      </c>
      <c r="C129" s="109">
        <v>6.3E-3</v>
      </c>
      <c r="D129" s="109">
        <v>1.6199999999999999E-2</v>
      </c>
    </row>
    <row r="132" spans="2:7">
      <c r="B132" s="96" t="s">
        <v>490</v>
      </c>
      <c r="C132" s="97"/>
      <c r="D132" s="97"/>
      <c r="E132" s="97"/>
      <c r="F132" s="97"/>
      <c r="G132" s="97"/>
    </row>
    <row r="134" spans="2:7">
      <c r="B134" s="92" t="s">
        <v>468</v>
      </c>
    </row>
    <row r="136" spans="2:7">
      <c r="B136" s="98" t="s">
        <v>469</v>
      </c>
    </row>
    <row r="137" spans="2:7">
      <c r="B137" s="66" t="s">
        <v>471</v>
      </c>
      <c r="C137" s="101">
        <v>5.7</v>
      </c>
      <c r="D137" s="92" t="s">
        <v>161</v>
      </c>
    </row>
    <row r="138" spans="2:7">
      <c r="B138" s="66" t="s">
        <v>462</v>
      </c>
      <c r="C138" s="102">
        <v>3.0000000000000001E-3</v>
      </c>
    </row>
    <row r="139" spans="2:7">
      <c r="B139" s="66" t="s">
        <v>332</v>
      </c>
      <c r="C139" s="102">
        <v>3.0000000000000001E-3</v>
      </c>
    </row>
    <row r="140" spans="2:7">
      <c r="B140" s="92" t="s">
        <v>470</v>
      </c>
      <c r="C140" s="101">
        <v>165</v>
      </c>
      <c r="D140" s="92" t="s">
        <v>466</v>
      </c>
    </row>
    <row r="141" spans="2:7">
      <c r="B141" s="66" t="s">
        <v>464</v>
      </c>
      <c r="C141" s="103">
        <v>15</v>
      </c>
    </row>
    <row r="142" spans="2:7">
      <c r="B142" s="66" t="s">
        <v>480</v>
      </c>
      <c r="C142" s="94">
        <v>25</v>
      </c>
      <c r="D142" s="92"/>
    </row>
    <row r="143" spans="2:7">
      <c r="B143" s="66" t="s">
        <v>492</v>
      </c>
      <c r="C143" s="94">
        <v>900</v>
      </c>
    </row>
    <row r="145" spans="2:4">
      <c r="B145" s="104" t="s">
        <v>491</v>
      </c>
      <c r="C145" s="133" t="s">
        <v>484</v>
      </c>
      <c r="D145" s="133"/>
    </row>
    <row r="146" spans="2:4">
      <c r="C146" s="92" t="s">
        <v>475</v>
      </c>
      <c r="D146" s="92" t="s">
        <v>476</v>
      </c>
    </row>
    <row r="147" spans="2:4">
      <c r="B147" s="92" t="s">
        <v>496</v>
      </c>
      <c r="C147" s="109">
        <v>3.0000000000000001E-3</v>
      </c>
      <c r="D147" s="109">
        <v>8.0999999999999996E-3</v>
      </c>
    </row>
    <row r="148" spans="2:4">
      <c r="B148" s="92" t="s">
        <v>493</v>
      </c>
      <c r="C148" s="109">
        <v>3.0000000000000001E-3</v>
      </c>
      <c r="D148" s="109">
        <v>8.0999999999999996E-3</v>
      </c>
    </row>
    <row r="149" spans="2:4">
      <c r="B149" s="92" t="s">
        <v>494</v>
      </c>
      <c r="C149" s="109">
        <v>1.4E-3</v>
      </c>
      <c r="D149" s="109">
        <v>4.0000000000000001E-3</v>
      </c>
    </row>
    <row r="150" spans="2:4">
      <c r="B150" s="92" t="s">
        <v>495</v>
      </c>
      <c r="C150" s="109">
        <v>1.5E-3</v>
      </c>
      <c r="D150" s="109">
        <v>4.0000000000000001E-3</v>
      </c>
    </row>
  </sheetData>
  <mergeCells count="8">
    <mergeCell ref="C90:D90"/>
    <mergeCell ref="C113:D113"/>
    <mergeCell ref="C123:D123"/>
    <mergeCell ref="C145:D145"/>
    <mergeCell ref="C15:D15"/>
    <mergeCell ref="C25:D25"/>
    <mergeCell ref="C46:D46"/>
    <mergeCell ref="C67:D6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31"/>
  <sheetViews>
    <sheetView workbookViewId="0"/>
  </sheetViews>
  <sheetFormatPr baseColWidth="10" defaultColWidth="14.5" defaultRowHeight="15.75" customHeight="1"/>
  <cols>
    <col min="1" max="1" width="35.5" customWidth="1"/>
    <col min="2" max="2" width="13" customWidth="1"/>
    <col min="3" max="3" width="12" customWidth="1"/>
    <col min="6" max="6" width="89.33203125" customWidth="1"/>
  </cols>
  <sheetData>
    <row r="1" spans="1:7" ht="8.25" customHeight="1">
      <c r="A1" s="1"/>
      <c r="B1" s="1"/>
      <c r="C1" s="1"/>
      <c r="D1" s="1"/>
      <c r="E1" s="1"/>
      <c r="F1" s="1"/>
      <c r="G1" s="1"/>
    </row>
    <row r="2" spans="1:7" ht="22.5" customHeight="1">
      <c r="A2" s="2" t="s">
        <v>329</v>
      </c>
      <c r="B2" s="3"/>
      <c r="C2" s="3"/>
      <c r="D2" s="3"/>
      <c r="E2" s="3"/>
      <c r="F2" s="3"/>
      <c r="G2" s="3"/>
    </row>
    <row r="4" spans="1:7" ht="13">
      <c r="A4" s="14" t="s">
        <v>272</v>
      </c>
      <c r="B4" s="15"/>
      <c r="C4" s="15"/>
      <c r="D4" s="15"/>
      <c r="E4" s="15"/>
      <c r="F4" s="15"/>
      <c r="G4" s="15"/>
    </row>
    <row r="5" spans="1:7" ht="13">
      <c r="F5" s="21" t="s">
        <v>330</v>
      </c>
    </row>
    <row r="6" spans="1:7" ht="13">
      <c r="A6" s="4" t="s">
        <v>331</v>
      </c>
      <c r="B6" s="71">
        <v>3.0000000000000001E-3</v>
      </c>
      <c r="F6" s="4" t="s">
        <v>311</v>
      </c>
    </row>
    <row r="7" spans="1:7" ht="13">
      <c r="A7" s="4" t="s">
        <v>332</v>
      </c>
      <c r="B7" s="72">
        <v>3.0000000000000001E-3</v>
      </c>
      <c r="F7" s="4" t="s">
        <v>311</v>
      </c>
    </row>
    <row r="9" spans="1:7" ht="13">
      <c r="A9" s="4" t="s">
        <v>333</v>
      </c>
      <c r="B9" s="47">
        <v>33000</v>
      </c>
      <c r="C9" s="4" t="s">
        <v>285</v>
      </c>
      <c r="F9" s="4" t="s">
        <v>334</v>
      </c>
    </row>
    <row r="10" spans="1:7" ht="13">
      <c r="A10" s="4" t="s">
        <v>335</v>
      </c>
      <c r="B10" s="47">
        <v>2000</v>
      </c>
      <c r="C10" s="4" t="s">
        <v>285</v>
      </c>
      <c r="F10" s="4" t="s">
        <v>336</v>
      </c>
    </row>
    <row r="11" spans="1:7" ht="13">
      <c r="A11" s="4" t="s">
        <v>337</v>
      </c>
      <c r="B11" s="47">
        <v>2</v>
      </c>
      <c r="C11" s="4" t="s">
        <v>338</v>
      </c>
      <c r="F11" s="4" t="s">
        <v>339</v>
      </c>
    </row>
    <row r="12" spans="1:7" ht="13">
      <c r="A12" s="4" t="s">
        <v>340</v>
      </c>
      <c r="B12" s="47">
        <v>1</v>
      </c>
      <c r="C12" s="4" t="s">
        <v>338</v>
      </c>
      <c r="E12" s="4"/>
      <c r="F12" s="4" t="s">
        <v>339</v>
      </c>
    </row>
    <row r="13" spans="1:7" ht="13">
      <c r="A13" s="4" t="s">
        <v>341</v>
      </c>
      <c r="B13" s="47">
        <v>13</v>
      </c>
      <c r="C13" s="4" t="s">
        <v>342</v>
      </c>
      <c r="D13" s="66">
        <f>B13*5</f>
        <v>65</v>
      </c>
      <c r="E13" s="4" t="s">
        <v>187</v>
      </c>
    </row>
    <row r="14" spans="1:7" ht="13">
      <c r="A14" s="4" t="s">
        <v>343</v>
      </c>
      <c r="B14" s="64">
        <f>Classroom!B15/60*B11*B13*5</f>
        <v>357.5</v>
      </c>
      <c r="C14" s="4" t="s">
        <v>344</v>
      </c>
    </row>
    <row r="15" spans="1:7" ht="13">
      <c r="A15" s="4" t="s">
        <v>345</v>
      </c>
      <c r="B15" s="64">
        <f>Classroom!B15/60*B12*B13*5</f>
        <v>178.75</v>
      </c>
      <c r="C15" s="4" t="s">
        <v>344</v>
      </c>
    </row>
    <row r="17" spans="1:7" ht="13">
      <c r="A17" s="4" t="s">
        <v>346</v>
      </c>
      <c r="B17" s="46">
        <v>0.05</v>
      </c>
      <c r="F17" s="4" t="s">
        <v>347</v>
      </c>
    </row>
    <row r="18" spans="1:7" ht="13">
      <c r="A18" s="4" t="s">
        <v>348</v>
      </c>
      <c r="B18" s="46">
        <v>0.2</v>
      </c>
      <c r="F18" s="4" t="s">
        <v>347</v>
      </c>
    </row>
    <row r="19" spans="1:7" ht="13">
      <c r="A19" s="4" t="s">
        <v>349</v>
      </c>
      <c r="B19" s="71">
        <v>5.0000000000000001E-4</v>
      </c>
      <c r="F19" s="4" t="s">
        <v>347</v>
      </c>
    </row>
    <row r="20" spans="1:7" ht="13">
      <c r="A20" s="4" t="s">
        <v>350</v>
      </c>
      <c r="B20" s="71">
        <v>5.0000000000000001E-3</v>
      </c>
      <c r="F20" s="4" t="s">
        <v>347</v>
      </c>
    </row>
    <row r="22" spans="1:7" ht="13">
      <c r="A22" s="14" t="s">
        <v>351</v>
      </c>
      <c r="B22" s="15"/>
      <c r="C22" s="15"/>
      <c r="D22" s="15"/>
      <c r="E22" s="15"/>
      <c r="F22" s="15"/>
      <c r="G22" s="15"/>
    </row>
    <row r="23" spans="1:7" ht="13">
      <c r="A23" s="4"/>
      <c r="B23" s="64"/>
      <c r="C23" s="4"/>
    </row>
    <row r="24" spans="1:7" ht="13">
      <c r="A24" s="67" t="s">
        <v>352</v>
      </c>
      <c r="B24" s="73">
        <f>B9*B11*D13*(Classroom!B38*B7+Classroom!B51*B6)</f>
        <v>850.30508127852875</v>
      </c>
      <c r="C24" s="67" t="s">
        <v>353</v>
      </c>
    </row>
    <row r="25" spans="1:7" ht="13">
      <c r="A25" s="67" t="s">
        <v>354</v>
      </c>
      <c r="B25" s="73">
        <f>B10*B12*D13*(Classroom!B51*B6)</f>
        <v>2.7958827312382208</v>
      </c>
      <c r="C25" s="67" t="s">
        <v>353</v>
      </c>
    </row>
    <row r="27" spans="1:7" ht="13">
      <c r="A27" s="67" t="s">
        <v>355</v>
      </c>
      <c r="B27" s="73">
        <f t="shared" ref="B27:B28" si="0">B24*B17</f>
        <v>42.515254063926442</v>
      </c>
      <c r="C27" s="67" t="s">
        <v>356</v>
      </c>
    </row>
    <row r="28" spans="1:7" ht="13">
      <c r="A28" s="67" t="s">
        <v>357</v>
      </c>
      <c r="B28" s="74">
        <f t="shared" si="0"/>
        <v>0.55917654624764423</v>
      </c>
      <c r="C28" s="67" t="s">
        <v>356</v>
      </c>
    </row>
    <row r="30" spans="1:7" ht="13">
      <c r="A30" s="67" t="s">
        <v>358</v>
      </c>
      <c r="B30" s="69">
        <f>B24*B19</f>
        <v>0.42515254063926439</v>
      </c>
      <c r="C30" s="67" t="s">
        <v>359</v>
      </c>
    </row>
    <row r="31" spans="1:7" ht="13">
      <c r="A31" s="67" t="s">
        <v>360</v>
      </c>
      <c r="B31" s="69">
        <f>B20*B25</f>
        <v>1.3979413656191104E-2</v>
      </c>
      <c r="C31" s="67" t="s">
        <v>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49"/>
  <sheetViews>
    <sheetView workbookViewId="0"/>
  </sheetViews>
  <sheetFormatPr baseColWidth="10" defaultColWidth="14.5" defaultRowHeight="15.75" customHeight="1"/>
  <cols>
    <col min="1" max="1" width="35.83203125" customWidth="1"/>
    <col min="3" max="3" width="10.1640625" customWidth="1"/>
    <col min="4" max="4" width="5.5" customWidth="1"/>
    <col min="7" max="7" width="84.83203125" customWidth="1"/>
  </cols>
  <sheetData>
    <row r="1" spans="1:8" ht="8.25" customHeight="1">
      <c r="A1" s="1" t="s">
        <v>461</v>
      </c>
      <c r="B1" s="1"/>
      <c r="C1" s="1"/>
      <c r="D1" s="1"/>
      <c r="E1" s="1"/>
      <c r="F1" s="1"/>
      <c r="G1" s="1"/>
      <c r="H1" s="1"/>
    </row>
    <row r="2" spans="1:8" ht="22.5" customHeight="1">
      <c r="A2" s="2" t="s">
        <v>361</v>
      </c>
      <c r="B2" s="3"/>
      <c r="C2" s="3"/>
      <c r="D2" s="3"/>
      <c r="E2" s="3"/>
      <c r="F2" s="3"/>
      <c r="G2" s="3"/>
      <c r="H2" s="3"/>
    </row>
    <row r="4" spans="1:8" ht="13">
      <c r="A4" s="14" t="s">
        <v>272</v>
      </c>
      <c r="B4" s="15"/>
      <c r="C4" s="15"/>
      <c r="D4" s="15"/>
      <c r="E4" s="15"/>
      <c r="F4" s="15"/>
      <c r="G4" s="15"/>
      <c r="H4" s="15"/>
    </row>
    <row r="5" spans="1:8" ht="13">
      <c r="B5" s="21" t="s">
        <v>273</v>
      </c>
      <c r="E5" s="21" t="s">
        <v>274</v>
      </c>
      <c r="G5" s="21" t="s">
        <v>275</v>
      </c>
    </row>
    <row r="6" spans="1:8" ht="13">
      <c r="A6" s="4" t="s">
        <v>147</v>
      </c>
      <c r="B6" s="75">
        <f>51.3*8.6</f>
        <v>441.17999999999995</v>
      </c>
      <c r="C6" s="4" t="s">
        <v>276</v>
      </c>
      <c r="D6" s="62" t="s">
        <v>277</v>
      </c>
      <c r="E6" s="63">
        <f>B6*0.305^2</f>
        <v>41.040769499999996</v>
      </c>
      <c r="F6" s="4" t="s">
        <v>148</v>
      </c>
      <c r="G6" s="4" t="s">
        <v>362</v>
      </c>
    </row>
    <row r="7" spans="1:8" ht="13">
      <c r="A7" s="4" t="s">
        <v>279</v>
      </c>
      <c r="B7" s="75">
        <v>11.89</v>
      </c>
      <c r="C7" s="4" t="s">
        <v>280</v>
      </c>
      <c r="D7" s="62" t="s">
        <v>277</v>
      </c>
      <c r="E7" s="63">
        <f>B7*0.305</f>
        <v>3.6264500000000002</v>
      </c>
      <c r="F7" s="4" t="s">
        <v>151</v>
      </c>
      <c r="G7" s="4" t="s">
        <v>362</v>
      </c>
    </row>
    <row r="8" spans="1:8" ht="13">
      <c r="A8" s="4" t="s">
        <v>281</v>
      </c>
      <c r="E8" s="64">
        <f>E7*E6</f>
        <v>148.832298553275</v>
      </c>
      <c r="F8" s="4" t="s">
        <v>153</v>
      </c>
    </row>
    <row r="10" spans="1:8" ht="13">
      <c r="A10" s="4" t="s">
        <v>363</v>
      </c>
      <c r="B10" s="71">
        <v>3.0000000000000001E-3</v>
      </c>
    </row>
    <row r="11" spans="1:8" ht="13">
      <c r="A11" s="4" t="s">
        <v>364</v>
      </c>
      <c r="B11" s="47">
        <v>35</v>
      </c>
      <c r="C11" s="4" t="s">
        <v>285</v>
      </c>
      <c r="G11" s="4" t="s">
        <v>365</v>
      </c>
    </row>
    <row r="12" spans="1:8" ht="13">
      <c r="A12" s="4" t="s">
        <v>366</v>
      </c>
      <c r="B12" s="4">
        <v>0.8</v>
      </c>
      <c r="C12" s="4" t="s">
        <v>291</v>
      </c>
      <c r="E12" s="65"/>
      <c r="F12" s="4"/>
      <c r="G12" s="4" t="s">
        <v>292</v>
      </c>
    </row>
    <row r="13" spans="1:8" ht="13">
      <c r="A13" s="4"/>
      <c r="B13" s="4"/>
      <c r="C13" s="4"/>
      <c r="E13" s="65"/>
      <c r="F13" s="4"/>
      <c r="G13" s="4"/>
    </row>
    <row r="14" spans="1:8" ht="13">
      <c r="A14" s="4" t="s">
        <v>367</v>
      </c>
      <c r="B14" s="47">
        <v>20</v>
      </c>
      <c r="C14" s="4" t="s">
        <v>294</v>
      </c>
      <c r="E14" s="65">
        <f>B14/60</f>
        <v>0.33333333333333331</v>
      </c>
      <c r="F14" s="4" t="s">
        <v>295</v>
      </c>
      <c r="G14" s="4" t="s">
        <v>278</v>
      </c>
    </row>
    <row r="16" spans="1:8" ht="13">
      <c r="A16" s="4" t="s">
        <v>368</v>
      </c>
      <c r="B16" s="47">
        <v>900</v>
      </c>
      <c r="C16" s="4" t="s">
        <v>369</v>
      </c>
      <c r="E16" s="4">
        <f>B16*1.69</f>
        <v>1521</v>
      </c>
      <c r="F16" s="4" t="s">
        <v>288</v>
      </c>
      <c r="G16" s="4" t="s">
        <v>362</v>
      </c>
    </row>
    <row r="17" spans="1:7" ht="13">
      <c r="A17" s="4" t="str">
        <f>D6</f>
        <v>=</v>
      </c>
      <c r="B17" s="76">
        <f>B16*0.472</f>
        <v>424.79999999999995</v>
      </c>
      <c r="C17" s="4" t="s">
        <v>158</v>
      </c>
      <c r="E17" s="4"/>
      <c r="F17" s="4"/>
      <c r="G17" s="4"/>
    </row>
    <row r="18" spans="1:7" ht="13">
      <c r="A18" s="4" t="s">
        <v>370</v>
      </c>
      <c r="B18" s="46">
        <v>0.35</v>
      </c>
      <c r="C18" s="4"/>
      <c r="E18" s="4"/>
      <c r="F18" s="4"/>
      <c r="G18" s="4" t="s">
        <v>371</v>
      </c>
    </row>
    <row r="19" spans="1:7" ht="13">
      <c r="A19" s="4" t="s">
        <v>372</v>
      </c>
      <c r="B19" s="11">
        <f>B17*B18</f>
        <v>148.67999999999998</v>
      </c>
      <c r="C19" s="4" t="s">
        <v>158</v>
      </c>
      <c r="E19" s="65">
        <f>B19/($B$11)</f>
        <v>4.2479999999999993</v>
      </c>
      <c r="F19" s="4" t="s">
        <v>373</v>
      </c>
      <c r="G19" s="4"/>
    </row>
    <row r="20" spans="1:7" ht="13">
      <c r="A20" s="4" t="s">
        <v>374</v>
      </c>
      <c r="B20" s="11">
        <f>(E16*B18)/E8</f>
        <v>3.5768445772504389</v>
      </c>
      <c r="C20" s="4" t="s">
        <v>161</v>
      </c>
      <c r="G20" s="4"/>
    </row>
    <row r="21" spans="1:7" ht="13">
      <c r="A21" s="4"/>
      <c r="B21" s="4"/>
      <c r="C21" s="4"/>
      <c r="E21" s="4"/>
      <c r="F21" s="4"/>
      <c r="G21" s="4"/>
    </row>
    <row r="22" spans="1:7" ht="13">
      <c r="A22" s="4" t="s">
        <v>375</v>
      </c>
      <c r="B22" s="47">
        <v>500</v>
      </c>
      <c r="C22" s="4" t="s">
        <v>369</v>
      </c>
      <c r="E22" s="4">
        <f>B22*1.69</f>
        <v>845</v>
      </c>
      <c r="F22" s="4" t="s">
        <v>288</v>
      </c>
      <c r="G22" s="4" t="s">
        <v>362</v>
      </c>
    </row>
    <row r="23" spans="1:7" ht="13">
      <c r="A23" s="62" t="s">
        <v>277</v>
      </c>
      <c r="B23" s="77">
        <f>B22*0.472</f>
        <v>236</v>
      </c>
      <c r="C23" s="4" t="str">
        <f>C17</f>
        <v>L/s</v>
      </c>
      <c r="E23" s="65">
        <f>B23/($B$11)</f>
        <v>6.7428571428571429</v>
      </c>
      <c r="F23" s="4" t="s">
        <v>373</v>
      </c>
      <c r="G23" s="4"/>
    </row>
    <row r="24" spans="1:7" ht="13">
      <c r="A24" s="4" t="s">
        <v>296</v>
      </c>
      <c r="B24" s="11">
        <f>E22/E8</f>
        <v>5.6775310750006964</v>
      </c>
      <c r="C24" s="4" t="s">
        <v>161</v>
      </c>
      <c r="G24" s="4" t="s">
        <v>376</v>
      </c>
    </row>
    <row r="26" spans="1:7" ht="13">
      <c r="A26" s="4" t="s">
        <v>377</v>
      </c>
      <c r="B26" s="63">
        <f t="shared" ref="B26:B27" si="0">B19+B23</f>
        <v>384.67999999999995</v>
      </c>
      <c r="C26" s="4" t="s">
        <v>158</v>
      </c>
      <c r="E26" s="63">
        <f>B26/($B$11)</f>
        <v>10.990857142857141</v>
      </c>
      <c r="F26" s="4" t="s">
        <v>141</v>
      </c>
    </row>
    <row r="27" spans="1:7" ht="13">
      <c r="A27" s="4" t="s">
        <v>378</v>
      </c>
      <c r="B27" s="63">
        <f t="shared" si="0"/>
        <v>9.2543756522511345</v>
      </c>
      <c r="C27" s="4" t="s">
        <v>161</v>
      </c>
    </row>
    <row r="28" spans="1:7" ht="13">
      <c r="A28" s="4" t="s">
        <v>299</v>
      </c>
      <c r="B28" s="4">
        <v>0.32</v>
      </c>
      <c r="C28" s="4" t="s">
        <v>161</v>
      </c>
      <c r="G28" s="4" t="s">
        <v>300</v>
      </c>
    </row>
    <row r="29" spans="1:7" ht="13">
      <c r="A29" s="4" t="s">
        <v>301</v>
      </c>
      <c r="B29" s="4">
        <v>0.3</v>
      </c>
      <c r="C29" s="4" t="s">
        <v>161</v>
      </c>
      <c r="G29" s="4" t="s">
        <v>302</v>
      </c>
    </row>
    <row r="30" spans="1:7" ht="13">
      <c r="A30" s="4" t="s">
        <v>303</v>
      </c>
      <c r="B30" s="4">
        <v>0</v>
      </c>
      <c r="C30" s="4" t="s">
        <v>161</v>
      </c>
      <c r="G30" s="4" t="s">
        <v>304</v>
      </c>
    </row>
    <row r="31" spans="1:7" ht="13">
      <c r="A31" s="4" t="s">
        <v>305</v>
      </c>
      <c r="B31" s="63">
        <f>SUM(B27:B30)</f>
        <v>9.8743756522511354</v>
      </c>
      <c r="C31" s="4" t="s">
        <v>161</v>
      </c>
    </row>
    <row r="33" spans="1:8" ht="13">
      <c r="A33" s="14" t="s">
        <v>379</v>
      </c>
      <c r="B33" s="15"/>
      <c r="C33" s="15"/>
      <c r="D33" s="15"/>
      <c r="E33" s="15"/>
      <c r="F33" s="15"/>
      <c r="G33" s="15"/>
      <c r="H33" s="15"/>
    </row>
    <row r="34" spans="1:8" ht="13">
      <c r="A34" s="4"/>
      <c r="B34" s="4"/>
      <c r="C34" s="4"/>
      <c r="G34" s="4"/>
    </row>
    <row r="35" spans="1:8" ht="13">
      <c r="A35" s="4" t="s">
        <v>380</v>
      </c>
      <c r="B35" s="47">
        <v>10</v>
      </c>
      <c r="C35" s="4" t="s">
        <v>308</v>
      </c>
      <c r="G35" s="4" t="s">
        <v>381</v>
      </c>
    </row>
    <row r="36" spans="1:8" ht="13">
      <c r="A36" s="4" t="s">
        <v>310</v>
      </c>
      <c r="B36" s="46">
        <v>0.5</v>
      </c>
      <c r="G36" s="4" t="s">
        <v>311</v>
      </c>
    </row>
    <row r="37" spans="1:8" ht="13">
      <c r="A37" s="4" t="s">
        <v>382</v>
      </c>
      <c r="B37" s="63">
        <f>(B35*(1-B36))*(B11*B10)</f>
        <v>0.52500000000000002</v>
      </c>
      <c r="C37" s="4" t="s">
        <v>308</v>
      </c>
      <c r="G37" s="4"/>
    </row>
    <row r="38" spans="1:8" ht="13">
      <c r="A38" s="4"/>
      <c r="B38" s="65"/>
      <c r="C38" s="4"/>
      <c r="G38" s="4"/>
    </row>
    <row r="39" spans="1:8" ht="13">
      <c r="A39" s="4" t="s">
        <v>313</v>
      </c>
      <c r="B39" s="78">
        <f>B37/B$31/E$8*(1-(1/B$31/E$14)*(1-EXP(-B$31*E$14)))</f>
        <v>2.527375716255615E-4</v>
      </c>
      <c r="C39" s="4" t="s">
        <v>314</v>
      </c>
      <c r="G39" s="4" t="s">
        <v>315</v>
      </c>
    </row>
    <row r="41" spans="1:8" ht="13">
      <c r="A41" s="4" t="s">
        <v>316</v>
      </c>
      <c r="B41" s="46">
        <v>0.3</v>
      </c>
      <c r="C41" s="4"/>
      <c r="G41" s="4" t="s">
        <v>311</v>
      </c>
    </row>
    <row r="42" spans="1:8" ht="13">
      <c r="A42" s="4" t="s">
        <v>383</v>
      </c>
      <c r="B42" s="78">
        <f>B39*B$12*E$14*(1-B41)</f>
        <v>4.7177680036771475E-5</v>
      </c>
      <c r="C42" s="4" t="s">
        <v>318</v>
      </c>
      <c r="G42" s="4" t="s">
        <v>384</v>
      </c>
    </row>
    <row r="43" spans="1:8" ht="13">
      <c r="A43" s="67" t="s">
        <v>385</v>
      </c>
      <c r="B43" s="79">
        <f>1-EXP(-B42)</f>
        <v>4.7176567187556806E-5</v>
      </c>
      <c r="G43" s="4" t="s">
        <v>386</v>
      </c>
    </row>
    <row r="44" spans="1:8" ht="13">
      <c r="A44" s="67" t="s">
        <v>387</v>
      </c>
      <c r="B44" s="80">
        <f>B$11*B43</f>
        <v>1.6511798515644882E-3</v>
      </c>
    </row>
    <row r="46" spans="1:8" ht="13">
      <c r="A46" s="67" t="s">
        <v>388</v>
      </c>
      <c r="B46" s="81">
        <v>5600000</v>
      </c>
    </row>
    <row r="47" spans="1:8" ht="13">
      <c r="A47" s="67" t="s">
        <v>389</v>
      </c>
      <c r="B47" s="82">
        <f>B43*B46</f>
        <v>264.18877625031814</v>
      </c>
    </row>
    <row r="49" spans="2:2" ht="13">
      <c r="B49" s="8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H36"/>
  <sheetViews>
    <sheetView workbookViewId="0"/>
  </sheetViews>
  <sheetFormatPr baseColWidth="10" defaultColWidth="14.5" defaultRowHeight="15.75" customHeight="1"/>
  <cols>
    <col min="1" max="1" width="28" customWidth="1"/>
    <col min="3" max="3" width="10.1640625" customWidth="1"/>
    <col min="4" max="4" width="5.5" customWidth="1"/>
    <col min="7" max="7" width="84.83203125" customWidth="1"/>
  </cols>
  <sheetData>
    <row r="1" spans="1:8" ht="8.25" customHeight="1">
      <c r="A1" s="1"/>
      <c r="B1" s="1"/>
      <c r="C1" s="1"/>
      <c r="D1" s="1"/>
      <c r="E1" s="1"/>
      <c r="F1" s="1"/>
      <c r="G1" s="1"/>
      <c r="H1" s="1"/>
    </row>
    <row r="2" spans="1:8" ht="22.5" customHeight="1">
      <c r="A2" s="2" t="s">
        <v>390</v>
      </c>
      <c r="B2" s="3"/>
      <c r="C2" s="3"/>
      <c r="D2" s="3"/>
      <c r="E2" s="3"/>
      <c r="F2" s="3"/>
      <c r="G2" s="3"/>
      <c r="H2" s="3"/>
    </row>
    <row r="4" spans="1:8" ht="13">
      <c r="A4" s="14" t="s">
        <v>272</v>
      </c>
      <c r="B4" s="15"/>
      <c r="C4" s="15"/>
      <c r="D4" s="15"/>
      <c r="E4" s="15"/>
      <c r="F4" s="15"/>
      <c r="G4" s="15"/>
      <c r="H4" s="15"/>
    </row>
    <row r="5" spans="1:8" ht="13">
      <c r="B5" s="21" t="s">
        <v>273</v>
      </c>
      <c r="E5" s="21" t="s">
        <v>274</v>
      </c>
      <c r="G5" s="21" t="s">
        <v>275</v>
      </c>
    </row>
    <row r="6" spans="1:8" ht="13">
      <c r="A6" s="4" t="s">
        <v>147</v>
      </c>
      <c r="B6" s="84">
        <f>2.4*11.9/0.305^2</f>
        <v>307.01424348293472</v>
      </c>
      <c r="C6" s="4" t="s">
        <v>276</v>
      </c>
      <c r="D6" s="62" t="s">
        <v>277</v>
      </c>
      <c r="E6" s="63">
        <f>B6*0.305^2</f>
        <v>28.560000000000002</v>
      </c>
      <c r="F6" s="4" t="s">
        <v>148</v>
      </c>
      <c r="G6" s="4" t="s">
        <v>391</v>
      </c>
    </row>
    <row r="7" spans="1:8" ht="13">
      <c r="A7" s="4" t="s">
        <v>279</v>
      </c>
      <c r="B7" s="85">
        <f>2.4/0.305</f>
        <v>7.8688524590163933</v>
      </c>
      <c r="C7" s="4" t="s">
        <v>280</v>
      </c>
      <c r="D7" s="62" t="s">
        <v>277</v>
      </c>
      <c r="E7" s="63">
        <f>B7*0.305</f>
        <v>2.4</v>
      </c>
      <c r="F7" s="4" t="s">
        <v>151</v>
      </c>
      <c r="G7" s="4" t="s">
        <v>391</v>
      </c>
    </row>
    <row r="8" spans="1:8" ht="13">
      <c r="A8" s="4" t="s">
        <v>281</v>
      </c>
      <c r="E8" s="64">
        <f>E7*E6</f>
        <v>68.543999999999997</v>
      </c>
      <c r="F8" s="4" t="s">
        <v>153</v>
      </c>
    </row>
    <row r="10" spans="1:8" ht="13">
      <c r="A10" s="4" t="s">
        <v>392</v>
      </c>
      <c r="B10" s="47">
        <v>40</v>
      </c>
      <c r="C10" s="4" t="s">
        <v>285</v>
      </c>
      <c r="G10" s="4" t="s">
        <v>393</v>
      </c>
    </row>
    <row r="11" spans="1:8" ht="13">
      <c r="A11" s="4" t="s">
        <v>394</v>
      </c>
      <c r="B11" s="4">
        <v>0.8</v>
      </c>
      <c r="C11" s="4" t="s">
        <v>291</v>
      </c>
      <c r="E11" s="65"/>
      <c r="F11" s="4"/>
      <c r="G11" s="4" t="s">
        <v>292</v>
      </c>
    </row>
    <row r="12" spans="1:8" ht="13">
      <c r="A12" s="4"/>
      <c r="B12" s="4"/>
      <c r="C12" s="4"/>
      <c r="E12" s="65"/>
      <c r="F12" s="4"/>
      <c r="G12" s="4"/>
    </row>
    <row r="13" spans="1:8" ht="13">
      <c r="A13" s="4" t="s">
        <v>395</v>
      </c>
      <c r="B13" s="4">
        <v>45</v>
      </c>
      <c r="C13" s="4" t="s">
        <v>294</v>
      </c>
      <c r="E13" s="65">
        <f>B13/60</f>
        <v>0.75</v>
      </c>
      <c r="F13" s="4" t="s">
        <v>295</v>
      </c>
      <c r="G13" s="4" t="s">
        <v>396</v>
      </c>
    </row>
    <row r="15" spans="1:8" ht="13">
      <c r="A15" s="4" t="s">
        <v>296</v>
      </c>
      <c r="B15" s="47">
        <v>3</v>
      </c>
      <c r="C15" s="4" t="s">
        <v>161</v>
      </c>
      <c r="E15" s="63">
        <f>B15*E8*1000/3600/B10</f>
        <v>1.4279999999999999</v>
      </c>
      <c r="F15" s="4" t="s">
        <v>297</v>
      </c>
      <c r="G15" s="4" t="s">
        <v>298</v>
      </c>
    </row>
    <row r="16" spans="1:8" ht="13">
      <c r="A16" s="4" t="s">
        <v>299</v>
      </c>
      <c r="B16" s="4">
        <v>0.32</v>
      </c>
      <c r="C16" s="4" t="s">
        <v>161</v>
      </c>
      <c r="G16" s="4" t="s">
        <v>300</v>
      </c>
    </row>
    <row r="17" spans="1:8" ht="13">
      <c r="A17" s="4" t="s">
        <v>301</v>
      </c>
      <c r="B17" s="4">
        <v>0.3</v>
      </c>
      <c r="C17" s="4" t="s">
        <v>161</v>
      </c>
      <c r="G17" s="4" t="s">
        <v>302</v>
      </c>
    </row>
    <row r="18" spans="1:8" ht="13">
      <c r="A18" s="4" t="s">
        <v>303</v>
      </c>
      <c r="B18" s="4">
        <v>0</v>
      </c>
      <c r="C18" s="4" t="s">
        <v>161</v>
      </c>
      <c r="G18" s="4" t="s">
        <v>304</v>
      </c>
    </row>
    <row r="19" spans="1:8" ht="13">
      <c r="A19" s="4" t="s">
        <v>305</v>
      </c>
      <c r="B19" s="66">
        <f>SUM(B15:B18)</f>
        <v>3.6199999999999997</v>
      </c>
      <c r="C19" s="4" t="s">
        <v>161</v>
      </c>
    </row>
    <row r="21" spans="1:8" ht="13">
      <c r="A21" s="4" t="s">
        <v>397</v>
      </c>
      <c r="B21" s="71">
        <v>3.0000000000000001E-3</v>
      </c>
      <c r="G21" s="4" t="s">
        <v>311</v>
      </c>
    </row>
    <row r="22" spans="1:8" ht="13">
      <c r="A22" s="4" t="s">
        <v>398</v>
      </c>
      <c r="B22" s="65">
        <f>B21*B10</f>
        <v>0.12</v>
      </c>
      <c r="C22" s="4" t="s">
        <v>285</v>
      </c>
    </row>
    <row r="24" spans="1:8" ht="13">
      <c r="A24" s="14" t="s">
        <v>399</v>
      </c>
      <c r="B24" s="15"/>
      <c r="C24" s="15"/>
      <c r="D24" s="15"/>
      <c r="E24" s="15"/>
      <c r="F24" s="15"/>
      <c r="G24" s="15"/>
      <c r="H24" s="15"/>
    </row>
    <row r="25" spans="1:8" ht="13">
      <c r="A25" s="4"/>
      <c r="B25" s="4"/>
      <c r="C25" s="4"/>
      <c r="G25" s="4"/>
    </row>
    <row r="26" spans="1:8" ht="13">
      <c r="A26" s="4" t="s">
        <v>400</v>
      </c>
      <c r="B26" s="47">
        <v>10</v>
      </c>
      <c r="C26" s="4" t="s">
        <v>308</v>
      </c>
      <c r="G26" s="4" t="s">
        <v>309</v>
      </c>
    </row>
    <row r="27" spans="1:8" ht="13">
      <c r="A27" s="4" t="s">
        <v>310</v>
      </c>
      <c r="B27" s="46">
        <v>0.5</v>
      </c>
      <c r="C27" s="4"/>
      <c r="G27" s="4" t="s">
        <v>311</v>
      </c>
    </row>
    <row r="28" spans="1:8" ht="13">
      <c r="A28" s="4" t="s">
        <v>312</v>
      </c>
      <c r="B28" s="66">
        <f>B26*(1-B27)</f>
        <v>5</v>
      </c>
      <c r="C28" s="4" t="s">
        <v>308</v>
      </c>
      <c r="G28" s="4"/>
    </row>
    <row r="29" spans="1:8" ht="13">
      <c r="A29" s="4"/>
      <c r="B29" s="65"/>
      <c r="C29" s="4"/>
      <c r="G29" s="4"/>
    </row>
    <row r="30" spans="1:8" ht="13">
      <c r="A30" s="4" t="s">
        <v>401</v>
      </c>
      <c r="B30" s="65">
        <f>B28/B$19/E$8*(1-(1/B$19/E$13)*(1-EXP(-B$19*E$13)))</f>
        <v>1.322013984347261E-2</v>
      </c>
      <c r="C30" s="4" t="s">
        <v>314</v>
      </c>
      <c r="G30" s="4" t="s">
        <v>315</v>
      </c>
    </row>
    <row r="31" spans="1:8" ht="13">
      <c r="A31" s="4" t="s">
        <v>402</v>
      </c>
      <c r="B31" s="70">
        <f>B30*B22</f>
        <v>1.5864167812167131E-3</v>
      </c>
    </row>
    <row r="33" spans="1:7" ht="13">
      <c r="A33" s="4" t="s">
        <v>316</v>
      </c>
      <c r="B33" s="46">
        <v>0.3</v>
      </c>
      <c r="C33" s="4"/>
      <c r="G33" s="4" t="s">
        <v>311</v>
      </c>
    </row>
    <row r="34" spans="1:7" ht="13">
      <c r="A34" s="4" t="s">
        <v>325</v>
      </c>
      <c r="B34" s="65">
        <f>B31*B$11*E$13*(1-B33)</f>
        <v>6.6629504811101953E-4</v>
      </c>
      <c r="C34" s="4" t="s">
        <v>318</v>
      </c>
    </row>
    <row r="35" spans="1:7" ht="13">
      <c r="A35" s="67" t="s">
        <v>326</v>
      </c>
      <c r="B35" s="48">
        <f>1-EXP(-B34)</f>
        <v>6.6607312285738018E-4</v>
      </c>
      <c r="G35" s="4" t="s">
        <v>386</v>
      </c>
    </row>
    <row r="36" spans="1:7" ht="13">
      <c r="A36" s="67" t="s">
        <v>321</v>
      </c>
      <c r="B36" s="69">
        <f>B$10*B35</f>
        <v>2.6642924914295207E-2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H33"/>
  <sheetViews>
    <sheetView workbookViewId="0"/>
  </sheetViews>
  <sheetFormatPr baseColWidth="10" defaultColWidth="14.5" defaultRowHeight="15.75" customHeight="1"/>
  <cols>
    <col min="1" max="1" width="28" customWidth="1"/>
    <col min="3" max="3" width="10.1640625" customWidth="1"/>
    <col min="4" max="4" width="5.5" customWidth="1"/>
    <col min="7" max="7" width="84.83203125" customWidth="1"/>
  </cols>
  <sheetData>
    <row r="1" spans="1:8" ht="8.25" customHeight="1">
      <c r="A1" s="1"/>
      <c r="B1" s="1"/>
      <c r="C1" s="1"/>
      <c r="D1" s="1"/>
      <c r="E1" s="1"/>
      <c r="F1" s="1"/>
      <c r="G1" s="1"/>
      <c r="H1" s="1"/>
    </row>
    <row r="2" spans="1:8" ht="22.5" customHeight="1">
      <c r="A2" s="2" t="s">
        <v>403</v>
      </c>
      <c r="B2" s="3"/>
      <c r="C2" s="3"/>
      <c r="D2" s="3"/>
      <c r="E2" s="3"/>
      <c r="F2" s="3"/>
      <c r="G2" s="3"/>
      <c r="H2" s="3"/>
    </row>
    <row r="4" spans="1:8" ht="13">
      <c r="A4" s="14" t="s">
        <v>272</v>
      </c>
      <c r="B4" s="15"/>
      <c r="C4" s="15"/>
      <c r="D4" s="15"/>
      <c r="E4" s="15"/>
      <c r="F4" s="15"/>
      <c r="G4" s="15"/>
      <c r="H4" s="15"/>
    </row>
    <row r="5" spans="1:8" ht="13">
      <c r="B5" s="21" t="s">
        <v>273</v>
      </c>
      <c r="E5" s="21" t="s">
        <v>274</v>
      </c>
      <c r="G5" s="21" t="s">
        <v>275</v>
      </c>
    </row>
    <row r="6" spans="1:8" ht="13">
      <c r="A6" s="4" t="s">
        <v>147</v>
      </c>
      <c r="B6" s="47">
        <f>30*60</f>
        <v>1800</v>
      </c>
      <c r="C6" s="4" t="s">
        <v>276</v>
      </c>
      <c r="D6" s="62" t="s">
        <v>277</v>
      </c>
      <c r="E6" s="63">
        <f>B6*0.305^2</f>
        <v>167.44499999999999</v>
      </c>
      <c r="F6" s="4" t="s">
        <v>148</v>
      </c>
      <c r="G6" s="4" t="s">
        <v>404</v>
      </c>
    </row>
    <row r="7" spans="1:8" ht="13">
      <c r="A7" s="4" t="s">
        <v>279</v>
      </c>
      <c r="B7" s="84">
        <v>15.86</v>
      </c>
      <c r="C7" s="4" t="s">
        <v>280</v>
      </c>
      <c r="D7" s="62" t="s">
        <v>277</v>
      </c>
      <c r="E7" s="63">
        <f>B7*0.305</f>
        <v>4.8372999999999999</v>
      </c>
      <c r="F7" s="4" t="s">
        <v>151</v>
      </c>
      <c r="G7" s="4" t="s">
        <v>404</v>
      </c>
    </row>
    <row r="8" spans="1:8" ht="13">
      <c r="A8" s="4" t="s">
        <v>281</v>
      </c>
      <c r="E8" s="84">
        <f>E6*E7</f>
        <v>809.98169849999999</v>
      </c>
      <c r="F8" s="4" t="s">
        <v>153</v>
      </c>
      <c r="G8" s="4" t="s">
        <v>404</v>
      </c>
    </row>
    <row r="10" spans="1:8" ht="13">
      <c r="A10" s="4" t="s">
        <v>405</v>
      </c>
      <c r="B10" s="47">
        <v>1</v>
      </c>
      <c r="C10" s="4" t="s">
        <v>283</v>
      </c>
      <c r="G10" s="4" t="s">
        <v>406</v>
      </c>
    </row>
    <row r="11" spans="1:8" ht="13">
      <c r="A11" s="4" t="s">
        <v>407</v>
      </c>
      <c r="B11" s="47">
        <v>60</v>
      </c>
      <c r="C11" s="4" t="s">
        <v>285</v>
      </c>
      <c r="G11" s="4" t="s">
        <v>406</v>
      </c>
    </row>
    <row r="12" spans="1:8" ht="13">
      <c r="A12" s="4" t="s">
        <v>408</v>
      </c>
      <c r="B12" s="4">
        <v>1.1000000000000001</v>
      </c>
      <c r="C12" s="4" t="s">
        <v>288</v>
      </c>
      <c r="E12" s="65"/>
      <c r="F12" s="4"/>
      <c r="G12" s="4" t="s">
        <v>409</v>
      </c>
    </row>
    <row r="13" spans="1:8" ht="13">
      <c r="A13" s="4" t="s">
        <v>410</v>
      </c>
      <c r="B13" s="4">
        <v>1.1000000000000001</v>
      </c>
      <c r="C13" s="4" t="s">
        <v>291</v>
      </c>
      <c r="E13" s="65"/>
      <c r="F13" s="4"/>
      <c r="G13" s="4" t="s">
        <v>409</v>
      </c>
    </row>
    <row r="14" spans="1:8" ht="13">
      <c r="A14" s="4"/>
      <c r="B14" s="4"/>
      <c r="C14" s="4"/>
      <c r="E14" s="65"/>
      <c r="F14" s="4"/>
      <c r="G14" s="4"/>
    </row>
    <row r="15" spans="1:8" ht="13">
      <c r="A15" s="4" t="s">
        <v>411</v>
      </c>
      <c r="B15" s="4">
        <v>150</v>
      </c>
      <c r="C15" s="4" t="s">
        <v>294</v>
      </c>
      <c r="E15" s="86">
        <f>B15/60</f>
        <v>2.5</v>
      </c>
      <c r="F15" s="4" t="s">
        <v>295</v>
      </c>
      <c r="G15" s="4" t="s">
        <v>278</v>
      </c>
    </row>
    <row r="17" spans="1:8" ht="13">
      <c r="A17" s="4" t="s">
        <v>296</v>
      </c>
      <c r="B17" s="47">
        <v>0.7</v>
      </c>
      <c r="C17" s="4" t="s">
        <v>161</v>
      </c>
      <c r="G17" s="4" t="s">
        <v>376</v>
      </c>
    </row>
    <row r="18" spans="1:8" ht="13">
      <c r="A18" s="4" t="s">
        <v>299</v>
      </c>
      <c r="B18" s="4">
        <v>0.32</v>
      </c>
      <c r="C18" s="4" t="s">
        <v>161</v>
      </c>
      <c r="G18" s="4" t="s">
        <v>300</v>
      </c>
    </row>
    <row r="19" spans="1:8" ht="13">
      <c r="A19" s="4" t="s">
        <v>301</v>
      </c>
      <c r="B19" s="4">
        <v>0.3</v>
      </c>
      <c r="C19" s="4" t="s">
        <v>161</v>
      </c>
      <c r="G19" s="4" t="s">
        <v>302</v>
      </c>
    </row>
    <row r="20" spans="1:8" ht="13">
      <c r="A20" s="4" t="s">
        <v>303</v>
      </c>
      <c r="B20" s="4">
        <v>0</v>
      </c>
      <c r="C20" s="4" t="s">
        <v>161</v>
      </c>
      <c r="G20" s="4" t="s">
        <v>304</v>
      </c>
    </row>
    <row r="21" spans="1:8" ht="13">
      <c r="A21" s="4" t="s">
        <v>305</v>
      </c>
      <c r="B21" s="66">
        <f>SUM(B17:B20)</f>
        <v>1.32</v>
      </c>
      <c r="C21" s="4" t="s">
        <v>161</v>
      </c>
    </row>
    <row r="23" spans="1:8" ht="13">
      <c r="A23" s="14" t="s">
        <v>399</v>
      </c>
      <c r="B23" s="15"/>
      <c r="C23" s="15"/>
      <c r="D23" s="15"/>
      <c r="E23" s="15"/>
      <c r="F23" s="15"/>
      <c r="G23" s="15"/>
      <c r="H23" s="15"/>
    </row>
    <row r="24" spans="1:8" ht="13">
      <c r="A24" s="4"/>
      <c r="B24" s="4"/>
      <c r="C24" s="4"/>
      <c r="G24" s="4"/>
    </row>
    <row r="25" spans="1:8" ht="13">
      <c r="A25" s="4" t="s">
        <v>412</v>
      </c>
      <c r="B25" s="47">
        <v>970</v>
      </c>
      <c r="C25" s="4" t="s">
        <v>308</v>
      </c>
      <c r="G25" s="4" t="s">
        <v>413</v>
      </c>
    </row>
    <row r="26" spans="1:8" ht="13">
      <c r="A26" s="4" t="s">
        <v>414</v>
      </c>
      <c r="B26" s="46">
        <v>0</v>
      </c>
      <c r="C26" s="4"/>
      <c r="G26" s="4" t="s">
        <v>415</v>
      </c>
    </row>
    <row r="27" spans="1:8" ht="13">
      <c r="A27" s="4" t="s">
        <v>312</v>
      </c>
      <c r="B27" s="66">
        <f>B25*(1-B26)*B10</f>
        <v>970</v>
      </c>
      <c r="C27" s="4" t="s">
        <v>308</v>
      </c>
      <c r="G27" s="4" t="s">
        <v>416</v>
      </c>
    </row>
    <row r="28" spans="1:8" ht="13">
      <c r="A28" s="4"/>
      <c r="B28" s="65"/>
      <c r="C28" s="4"/>
      <c r="G28" s="4"/>
    </row>
    <row r="29" spans="1:8" ht="13">
      <c r="A29" s="4" t="s">
        <v>313</v>
      </c>
      <c r="B29" s="65">
        <f>B$27/B$21/E$8*(1-(1/B$21/E$15)*(1-EXP(-B$21*E$15)))</f>
        <v>0.64245935508168972</v>
      </c>
      <c r="C29" s="4" t="s">
        <v>314</v>
      </c>
      <c r="G29" s="4" t="s">
        <v>315</v>
      </c>
    </row>
    <row r="31" spans="1:8" ht="13">
      <c r="A31" s="4" t="s">
        <v>317</v>
      </c>
      <c r="B31" s="65">
        <f>B29*B$13*E$15</f>
        <v>1.7667632264746469</v>
      </c>
      <c r="C31" s="4" t="s">
        <v>318</v>
      </c>
    </row>
    <row r="32" spans="1:8" ht="13">
      <c r="A32" s="67" t="s">
        <v>319</v>
      </c>
      <c r="B32" s="68">
        <f>1-EXP(-B31)</f>
        <v>0.82911478863834609</v>
      </c>
      <c r="G32" s="4" t="s">
        <v>386</v>
      </c>
    </row>
    <row r="33" spans="1:2" ht="13">
      <c r="A33" s="67" t="s">
        <v>321</v>
      </c>
      <c r="B33" s="74">
        <f>B$11*B32</f>
        <v>49.746887318300764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Readme</vt:lpstr>
      <vt:lpstr>FAQs</vt:lpstr>
      <vt:lpstr>Classroom</vt:lpstr>
      <vt:lpstr>Class Analysis (added by AM</vt:lpstr>
      <vt:lpstr>Archive</vt:lpstr>
      <vt:lpstr>Campus</vt:lpstr>
      <vt:lpstr>Subway</vt:lpstr>
      <vt:lpstr>Bus</vt:lpstr>
      <vt:lpstr>Choir</vt:lpstr>
      <vt:lpstr>Outdoors</vt:lpstr>
      <vt:lpstr>Demonstration</vt:lpstr>
      <vt:lpstr>Rally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Andrew Maynard</cp:lastModifiedBy>
  <dcterms:created xsi:type="dcterms:W3CDTF">2020-06-29T12:56:47Z</dcterms:created>
  <dcterms:modified xsi:type="dcterms:W3CDTF">2020-07-03T14:33:45Z</dcterms:modified>
</cp:coreProperties>
</file>